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ub/Documents/audited accounts/"/>
    </mc:Choice>
  </mc:AlternateContent>
  <xr:revisionPtr revIDLastSave="0" documentId="8_{36A7D5AA-7542-4E45-B369-A6CC1BC90439}" xr6:coauthVersionLast="36" xr6:coauthVersionMax="36" xr10:uidLastSave="{00000000-0000-0000-0000-000000000000}"/>
  <bookViews>
    <workbookView xWindow="0" yWindow="460" windowWidth="16600" windowHeight="8720" firstSheet="1" activeTab="4" xr2:uid="{91188985-77BA-4DC8-8FF9-A7D82887E8B3}"/>
  </bookViews>
  <sheets>
    <sheet name="Statement +BS" sheetId="1" r:id="rId1"/>
    <sheet name="Notes" sheetId="2" r:id="rId2"/>
    <sheet name="Bank Income" sheetId="4" r:id="rId3"/>
    <sheet name="Bank Expenditure" sheetId="5" r:id="rId4"/>
    <sheet name="Bank Rec" sheetId="7" r:id="rId5"/>
    <sheet name="Cash Spend" sheetId="10" r:id="rId6"/>
    <sheet name="Vouchers" sheetId="11" r:id="rId7"/>
    <sheet name="wages" sheetId="3" r:id="rId8"/>
  </sheets>
  <definedNames>
    <definedName name="_xlnm._FilterDatabase" localSheetId="3" hidden="1">'Bank Expenditure'!$A$1:$S$268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4" i="2" l="1"/>
  <c r="C167" i="2"/>
  <c r="F113" i="2"/>
  <c r="D28" i="2"/>
  <c r="B113" i="2"/>
  <c r="D14" i="3"/>
  <c r="D27" i="3"/>
  <c r="C14" i="3"/>
  <c r="C27" i="3"/>
  <c r="B27" i="3"/>
  <c r="C65" i="2"/>
  <c r="C97" i="2"/>
  <c r="C105" i="2" s="1"/>
  <c r="C101" i="2" s="1"/>
  <c r="B97" i="2"/>
  <c r="B106" i="2" s="1"/>
  <c r="D94" i="2"/>
  <c r="G154" i="2"/>
  <c r="G153" i="2"/>
  <c r="G152" i="2"/>
  <c r="G151" i="2"/>
  <c r="G150" i="2"/>
  <c r="G149" i="2"/>
  <c r="G148" i="2"/>
  <c r="G145" i="2"/>
  <c r="C102" i="2" l="1"/>
  <c r="C106" i="2" s="1"/>
  <c r="D101" i="2"/>
  <c r="D102" i="2" s="1"/>
  <c r="D126" i="2"/>
  <c r="I92" i="5"/>
  <c r="I75" i="5"/>
  <c r="I61" i="5"/>
  <c r="I48" i="5"/>
  <c r="I29" i="5"/>
  <c r="I16" i="5"/>
  <c r="I7" i="5"/>
  <c r="C19" i="2"/>
  <c r="B30" i="11"/>
  <c r="B29" i="11"/>
  <c r="B28" i="11"/>
  <c r="E135" i="2"/>
  <c r="C7" i="2"/>
  <c r="C20" i="2"/>
  <c r="B26" i="11"/>
  <c r="D78" i="10"/>
  <c r="E78" i="10"/>
  <c r="F78" i="10"/>
  <c r="G78" i="10"/>
  <c r="H78" i="10"/>
  <c r="I78" i="10"/>
  <c r="J78" i="10"/>
  <c r="K78" i="10"/>
  <c r="L78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78" i="10" s="1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3" i="10"/>
  <c r="D62" i="10"/>
  <c r="D10" i="10"/>
  <c r="H10" i="10"/>
  <c r="F10" i="10"/>
  <c r="E10" i="10"/>
  <c r="G10" i="10"/>
  <c r="F8" i="10"/>
  <c r="D8" i="10"/>
  <c r="E210" i="4"/>
  <c r="F210" i="4"/>
  <c r="G210" i="4"/>
  <c r="C10" i="2" s="1"/>
  <c r="H210" i="4"/>
  <c r="D10" i="2" s="1"/>
  <c r="I210" i="4"/>
  <c r="J210" i="4"/>
  <c r="K210" i="4"/>
  <c r="C17" i="2" s="1"/>
  <c r="L210" i="4"/>
  <c r="C18" i="2" s="1"/>
  <c r="M210" i="4"/>
  <c r="M267" i="5"/>
  <c r="I267" i="5"/>
  <c r="D267" i="5" s="1"/>
  <c r="D76" i="3"/>
  <c r="M54" i="3"/>
  <c r="M53" i="3"/>
  <c r="M47" i="3"/>
  <c r="L47" i="3"/>
  <c r="K47" i="3"/>
  <c r="J47" i="3"/>
  <c r="I47" i="3"/>
  <c r="H47" i="3"/>
  <c r="G47" i="3"/>
  <c r="F47" i="3"/>
  <c r="E47" i="3"/>
  <c r="D47" i="3"/>
  <c r="C47" i="3"/>
  <c r="B47" i="3"/>
  <c r="N47" i="3" s="1"/>
  <c r="N46" i="3"/>
  <c r="N45" i="3"/>
  <c r="N44" i="3"/>
  <c r="N43" i="3"/>
  <c r="N42" i="3"/>
  <c r="D261" i="5"/>
  <c r="M261" i="5"/>
  <c r="D248" i="5"/>
  <c r="D249" i="5"/>
  <c r="M253" i="5"/>
  <c r="D253" i="5" s="1"/>
  <c r="M249" i="5"/>
  <c r="D197" i="4"/>
  <c r="D198" i="4"/>
  <c r="D199" i="4"/>
  <c r="D200" i="4"/>
  <c r="D201" i="4"/>
  <c r="D202" i="4"/>
  <c r="D203" i="4"/>
  <c r="D204" i="4"/>
  <c r="D205" i="4"/>
  <c r="D206" i="4"/>
  <c r="D207" i="4"/>
  <c r="D208" i="4"/>
  <c r="I245" i="5"/>
  <c r="M245" i="5"/>
  <c r="I236" i="5"/>
  <c r="D236" i="5" s="1"/>
  <c r="M236" i="5"/>
  <c r="K31" i="3"/>
  <c r="L64" i="3"/>
  <c r="L54" i="3"/>
  <c r="L55" i="3"/>
  <c r="L56" i="3"/>
  <c r="L57" i="3"/>
  <c r="L9" i="3"/>
  <c r="M9" i="3"/>
  <c r="I228" i="5"/>
  <c r="M228" i="5"/>
  <c r="I225" i="5"/>
  <c r="D225" i="5" s="1"/>
  <c r="M225" i="5"/>
  <c r="I221" i="5"/>
  <c r="M221" i="5"/>
  <c r="I213" i="5"/>
  <c r="D213" i="5" s="1"/>
  <c r="M208" i="5"/>
  <c r="D208" i="5" s="1"/>
  <c r="J64" i="3"/>
  <c r="I204" i="5"/>
  <c r="D204" i="5" s="1"/>
  <c r="I199" i="5"/>
  <c r="D199" i="5" s="1"/>
  <c r="I194" i="5"/>
  <c r="I191" i="5"/>
  <c r="D191" i="5" s="1"/>
  <c r="D133" i="2"/>
  <c r="O271" i="5"/>
  <c r="E133" i="2" s="1"/>
  <c r="I170" i="5"/>
  <c r="D170" i="5" s="1"/>
  <c r="H23" i="3"/>
  <c r="H9" i="3"/>
  <c r="D164" i="5"/>
  <c r="D163" i="5"/>
  <c r="D162" i="5"/>
  <c r="I160" i="5"/>
  <c r="D160" i="5" s="1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1" i="5"/>
  <c r="D165" i="5"/>
  <c r="D166" i="5"/>
  <c r="D167" i="5"/>
  <c r="D168" i="5"/>
  <c r="D169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2" i="5"/>
  <c r="D193" i="5"/>
  <c r="D194" i="5"/>
  <c r="D195" i="5"/>
  <c r="D196" i="5"/>
  <c r="D197" i="5"/>
  <c r="D198" i="5"/>
  <c r="D200" i="5"/>
  <c r="D201" i="5"/>
  <c r="D202" i="5"/>
  <c r="D203" i="5"/>
  <c r="D205" i="5"/>
  <c r="D206" i="5"/>
  <c r="D207" i="5"/>
  <c r="D209" i="5"/>
  <c r="D210" i="5"/>
  <c r="D211" i="5"/>
  <c r="D212" i="5"/>
  <c r="D214" i="5"/>
  <c r="D215" i="5"/>
  <c r="D216" i="5"/>
  <c r="D217" i="5"/>
  <c r="D218" i="5"/>
  <c r="D219" i="5"/>
  <c r="D220" i="5"/>
  <c r="D222" i="5"/>
  <c r="D223" i="5"/>
  <c r="D224" i="5"/>
  <c r="D226" i="5"/>
  <c r="D227" i="5"/>
  <c r="D229" i="5"/>
  <c r="D230" i="5"/>
  <c r="D231" i="5"/>
  <c r="D232" i="5"/>
  <c r="D233" i="5"/>
  <c r="D234" i="5"/>
  <c r="D235" i="5"/>
  <c r="D237" i="5"/>
  <c r="D238" i="5"/>
  <c r="D239" i="5"/>
  <c r="D240" i="5"/>
  <c r="D241" i="5"/>
  <c r="D242" i="5"/>
  <c r="D243" i="5"/>
  <c r="D244" i="5"/>
  <c r="D246" i="5"/>
  <c r="D247" i="5"/>
  <c r="D250" i="5"/>
  <c r="D251" i="5"/>
  <c r="D252" i="5"/>
  <c r="D254" i="5"/>
  <c r="D255" i="5"/>
  <c r="D256" i="5"/>
  <c r="D257" i="5"/>
  <c r="D258" i="5"/>
  <c r="D259" i="5"/>
  <c r="D260" i="5"/>
  <c r="D262" i="5"/>
  <c r="D263" i="5"/>
  <c r="D264" i="5"/>
  <c r="D265" i="5"/>
  <c r="D266" i="5"/>
  <c r="D268" i="5"/>
  <c r="I145" i="5"/>
  <c r="D145" i="5" s="1"/>
  <c r="N105" i="4"/>
  <c r="N210" i="4" s="1"/>
  <c r="I135" i="5"/>
  <c r="D135" i="5" s="1"/>
  <c r="I133" i="5"/>
  <c r="D133" i="5" s="1"/>
  <c r="I126" i="5"/>
  <c r="I124" i="5"/>
  <c r="D92" i="5"/>
  <c r="D75" i="5"/>
  <c r="G1" i="5"/>
  <c r="D117" i="5"/>
  <c r="D116" i="5"/>
  <c r="E23" i="3"/>
  <c r="D98" i="5"/>
  <c r="D97" i="5"/>
  <c r="D84" i="5"/>
  <c r="D83" i="5"/>
  <c r="I46" i="5"/>
  <c r="D46" i="5" s="1"/>
  <c r="D67" i="5"/>
  <c r="D68" i="5"/>
  <c r="D69" i="5"/>
  <c r="D71" i="5"/>
  <c r="D72" i="5"/>
  <c r="D73" i="5"/>
  <c r="D50" i="4"/>
  <c r="D51" i="4"/>
  <c r="D52" i="4"/>
  <c r="D53" i="4"/>
  <c r="I70" i="5"/>
  <c r="D70" i="5" s="1"/>
  <c r="M61" i="5"/>
  <c r="H54" i="5"/>
  <c r="H271" i="5" s="1"/>
  <c r="I53" i="5"/>
  <c r="D53" i="5" s="1"/>
  <c r="D52" i="5"/>
  <c r="M48" i="5"/>
  <c r="C64" i="3"/>
  <c r="C56" i="3"/>
  <c r="C57" i="3"/>
  <c r="N5" i="3"/>
  <c r="N6" i="3"/>
  <c r="N7" i="3"/>
  <c r="C9" i="3"/>
  <c r="D29" i="5"/>
  <c r="L271" i="5"/>
  <c r="P17" i="5"/>
  <c r="P271" i="5" s="1"/>
  <c r="E134" i="2" s="1"/>
  <c r="N17" i="5"/>
  <c r="N271" i="5" s="1"/>
  <c r="E132" i="2" s="1"/>
  <c r="C174" i="2"/>
  <c r="Q271" i="5"/>
  <c r="R271" i="5"/>
  <c r="E130" i="2" s="1"/>
  <c r="K271" i="5"/>
  <c r="C43" i="2" s="1"/>
  <c r="D43" i="2" s="1"/>
  <c r="E21" i="2"/>
  <c r="C11" i="2"/>
  <c r="D11" i="2"/>
  <c r="D45" i="4"/>
  <c r="D46" i="4"/>
  <c r="D47" i="4"/>
  <c r="D48" i="4"/>
  <c r="D49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3" i="5"/>
  <c r="D14" i="5"/>
  <c r="D15" i="5"/>
  <c r="E271" i="5"/>
  <c r="C27" i="2" s="1"/>
  <c r="F271" i="5"/>
  <c r="J271" i="5"/>
  <c r="D20" i="5"/>
  <c r="D21" i="5"/>
  <c r="D22" i="5"/>
  <c r="D23" i="5"/>
  <c r="D24" i="5"/>
  <c r="D25" i="5"/>
  <c r="D26" i="5"/>
  <c r="D27" i="5"/>
  <c r="D28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5" i="5"/>
  <c r="D47" i="5"/>
  <c r="D49" i="5"/>
  <c r="D50" i="5"/>
  <c r="D51" i="5"/>
  <c r="D55" i="5"/>
  <c r="D56" i="5"/>
  <c r="D57" i="5"/>
  <c r="D58" i="5"/>
  <c r="D59" i="5"/>
  <c r="D60" i="5"/>
  <c r="D62" i="5"/>
  <c r="D63" i="5"/>
  <c r="D64" i="5"/>
  <c r="D65" i="5"/>
  <c r="D66" i="5"/>
  <c r="D74" i="5"/>
  <c r="D76" i="5"/>
  <c r="D77" i="5"/>
  <c r="D78" i="5"/>
  <c r="D79" i="5"/>
  <c r="D80" i="5"/>
  <c r="D81" i="5"/>
  <c r="D82" i="5"/>
  <c r="D85" i="5"/>
  <c r="D86" i="5"/>
  <c r="D87" i="5"/>
  <c r="D88" i="5"/>
  <c r="D89" i="5"/>
  <c r="D90" i="5"/>
  <c r="D91" i="5"/>
  <c r="D93" i="5"/>
  <c r="D94" i="5"/>
  <c r="D95" i="5"/>
  <c r="D96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4" i="5"/>
  <c r="D136" i="5"/>
  <c r="D137" i="5"/>
  <c r="D138" i="5"/>
  <c r="D139" i="5"/>
  <c r="D140" i="5"/>
  <c r="D141" i="5"/>
  <c r="D142" i="5"/>
  <c r="D143" i="5"/>
  <c r="D144" i="5"/>
  <c r="D146" i="5"/>
  <c r="I8" i="5"/>
  <c r="D36" i="2" l="1"/>
  <c r="C64" i="2"/>
  <c r="C66" i="2" s="1"/>
  <c r="G133" i="2"/>
  <c r="C12" i="2"/>
  <c r="D54" i="5"/>
  <c r="D228" i="5"/>
  <c r="D61" i="5"/>
  <c r="M271" i="5"/>
  <c r="D245" i="5"/>
  <c r="D221" i="5"/>
  <c r="D48" i="5"/>
  <c r="C29" i="2"/>
  <c r="E29" i="2" s="1"/>
  <c r="C6" i="1"/>
  <c r="D44" i="5"/>
  <c r="I271" i="5"/>
  <c r="E10" i="2"/>
  <c r="E11" i="2"/>
  <c r="D7" i="2"/>
  <c r="D12" i="2" s="1"/>
  <c r="D6" i="1" s="1"/>
  <c r="D8" i="1" s="1"/>
  <c r="D20" i="2"/>
  <c r="G271" i="5"/>
  <c r="D16" i="5"/>
  <c r="E27" i="2"/>
  <c r="D6" i="5"/>
  <c r="D7" i="5"/>
  <c r="D8" i="5"/>
  <c r="D9" i="5"/>
  <c r="D10" i="5"/>
  <c r="D11" i="5"/>
  <c r="D12" i="5"/>
  <c r="D17" i="5"/>
  <c r="D18" i="5"/>
  <c r="D19" i="5"/>
  <c r="D5" i="5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" i="4"/>
  <c r="C63" i="3"/>
  <c r="D63" i="3"/>
  <c r="E63" i="3"/>
  <c r="F63" i="3"/>
  <c r="G63" i="3"/>
  <c r="H63" i="3"/>
  <c r="I63" i="3"/>
  <c r="J63" i="3"/>
  <c r="K63" i="3"/>
  <c r="L63" i="3"/>
  <c r="M63" i="3"/>
  <c r="D64" i="3"/>
  <c r="E64" i="3"/>
  <c r="F64" i="3"/>
  <c r="G64" i="3"/>
  <c r="H64" i="3"/>
  <c r="I64" i="3"/>
  <c r="K64" i="3"/>
  <c r="M64" i="3"/>
  <c r="B64" i="3"/>
  <c r="B60" i="3"/>
  <c r="B70" i="3" s="1"/>
  <c r="B63" i="3"/>
  <c r="C59" i="3"/>
  <c r="C69" i="3" s="1"/>
  <c r="D59" i="3"/>
  <c r="D69" i="3" s="1"/>
  <c r="E59" i="3"/>
  <c r="E69" i="3" s="1"/>
  <c r="F59" i="3"/>
  <c r="F69" i="3" s="1"/>
  <c r="G59" i="3"/>
  <c r="G69" i="3" s="1"/>
  <c r="H59" i="3"/>
  <c r="H69" i="3" s="1"/>
  <c r="I59" i="3"/>
  <c r="I69" i="3" s="1"/>
  <c r="J59" i="3"/>
  <c r="J69" i="3" s="1"/>
  <c r="K59" i="3"/>
  <c r="K69" i="3" s="1"/>
  <c r="L59" i="3"/>
  <c r="L69" i="3" s="1"/>
  <c r="M59" i="3"/>
  <c r="M69" i="3" s="1"/>
  <c r="C60" i="3"/>
  <c r="C70" i="3" s="1"/>
  <c r="D60" i="3"/>
  <c r="D70" i="3" s="1"/>
  <c r="E60" i="3"/>
  <c r="E70" i="3" s="1"/>
  <c r="F60" i="3"/>
  <c r="F70" i="3" s="1"/>
  <c r="G60" i="3"/>
  <c r="G70" i="3" s="1"/>
  <c r="H60" i="3"/>
  <c r="H70" i="3" s="1"/>
  <c r="I60" i="3"/>
  <c r="I70" i="3" s="1"/>
  <c r="J60" i="3"/>
  <c r="J70" i="3" s="1"/>
  <c r="K60" i="3"/>
  <c r="K70" i="3" s="1"/>
  <c r="L60" i="3"/>
  <c r="L70" i="3" s="1"/>
  <c r="M60" i="3"/>
  <c r="M70" i="3" s="1"/>
  <c r="C53" i="3"/>
  <c r="C58" i="3" s="1"/>
  <c r="D53" i="3"/>
  <c r="D68" i="3" s="1"/>
  <c r="E53" i="3"/>
  <c r="E68" i="3" s="1"/>
  <c r="F53" i="3"/>
  <c r="F68" i="3" s="1"/>
  <c r="G53" i="3"/>
  <c r="H53" i="3"/>
  <c r="H68" i="3" s="1"/>
  <c r="I53" i="3"/>
  <c r="I68" i="3" s="1"/>
  <c r="J53" i="3"/>
  <c r="J68" i="3" s="1"/>
  <c r="K53" i="3"/>
  <c r="L53" i="3"/>
  <c r="L68" i="3" s="1"/>
  <c r="M68" i="3"/>
  <c r="C54" i="3"/>
  <c r="D54" i="3"/>
  <c r="E54" i="3"/>
  <c r="F54" i="3"/>
  <c r="G54" i="3"/>
  <c r="H54" i="3"/>
  <c r="I54" i="3"/>
  <c r="J54" i="3"/>
  <c r="K54" i="3"/>
  <c r="C55" i="3"/>
  <c r="D55" i="3"/>
  <c r="E55" i="3"/>
  <c r="F55" i="3"/>
  <c r="G55" i="3"/>
  <c r="H55" i="3"/>
  <c r="I55" i="3"/>
  <c r="J55" i="3"/>
  <c r="K55" i="3"/>
  <c r="M55" i="3"/>
  <c r="D56" i="3"/>
  <c r="E56" i="3"/>
  <c r="F56" i="3"/>
  <c r="G56" i="3"/>
  <c r="H56" i="3"/>
  <c r="I56" i="3"/>
  <c r="J56" i="3"/>
  <c r="K56" i="3"/>
  <c r="M56" i="3"/>
  <c r="C72" i="3"/>
  <c r="D57" i="3"/>
  <c r="D72" i="3" s="1"/>
  <c r="E57" i="3"/>
  <c r="E72" i="3" s="1"/>
  <c r="F57" i="3"/>
  <c r="F72" i="3" s="1"/>
  <c r="G57" i="3"/>
  <c r="G72" i="3" s="1"/>
  <c r="H57" i="3"/>
  <c r="H72" i="3" s="1"/>
  <c r="I57" i="3"/>
  <c r="I72" i="3" s="1"/>
  <c r="J57" i="3"/>
  <c r="J72" i="3" s="1"/>
  <c r="K57" i="3"/>
  <c r="K72" i="3" s="1"/>
  <c r="L72" i="3"/>
  <c r="M57" i="3"/>
  <c r="M72" i="3" s="1"/>
  <c r="B59" i="3"/>
  <c r="B69" i="3" s="1"/>
  <c r="B54" i="3"/>
  <c r="B55" i="3"/>
  <c r="B56" i="3"/>
  <c r="B57" i="3"/>
  <c r="B53" i="3"/>
  <c r="B68" i="3" s="1"/>
  <c r="N38" i="3"/>
  <c r="N37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N34" i="3"/>
  <c r="N33" i="3"/>
  <c r="N32" i="3"/>
  <c r="N31" i="3"/>
  <c r="N25" i="3"/>
  <c r="N24" i="3"/>
  <c r="M23" i="3"/>
  <c r="L23" i="3"/>
  <c r="L58" i="3" s="1"/>
  <c r="K23" i="3"/>
  <c r="J23" i="3"/>
  <c r="I23" i="3"/>
  <c r="G23" i="3"/>
  <c r="F23" i="3"/>
  <c r="D23" i="3"/>
  <c r="C23" i="3"/>
  <c r="B23" i="3"/>
  <c r="N22" i="3"/>
  <c r="N21" i="3"/>
  <c r="N20" i="3"/>
  <c r="N19" i="3"/>
  <c r="N18" i="3"/>
  <c r="D9" i="3"/>
  <c r="E9" i="3"/>
  <c r="F9" i="3"/>
  <c r="G9" i="3"/>
  <c r="I9" i="3"/>
  <c r="J9" i="3"/>
  <c r="K9" i="3"/>
  <c r="N8" i="3"/>
  <c r="N10" i="3"/>
  <c r="N11" i="3"/>
  <c r="N4" i="3"/>
  <c r="B9" i="3"/>
  <c r="E175" i="2"/>
  <c r="E174" i="2"/>
  <c r="C131" i="2"/>
  <c r="C132" i="2"/>
  <c r="G132" i="2" s="1"/>
  <c r="C134" i="2"/>
  <c r="G134" i="2" s="1"/>
  <c r="C135" i="2"/>
  <c r="G135" i="2" s="1"/>
  <c r="C129" i="2"/>
  <c r="G129" i="2" s="1"/>
  <c r="D155" i="2"/>
  <c r="D157" i="2" s="1"/>
  <c r="E155" i="2"/>
  <c r="E157" i="2" s="1"/>
  <c r="F155" i="2"/>
  <c r="F157" i="2" s="1"/>
  <c r="C155" i="2"/>
  <c r="C157" i="2" s="1"/>
  <c r="C126" i="2"/>
  <c r="D137" i="2"/>
  <c r="F137" i="2"/>
  <c r="F139" i="2" s="1"/>
  <c r="D173" i="2"/>
  <c r="D176" i="2" s="1"/>
  <c r="D96" i="2"/>
  <c r="D97" i="2"/>
  <c r="D95" i="2"/>
  <c r="F30" i="2"/>
  <c r="D18" i="2"/>
  <c r="D19" i="2"/>
  <c r="D17" i="2"/>
  <c r="F12" i="2"/>
  <c r="D43" i="1"/>
  <c r="D40" i="1"/>
  <c r="D45" i="1" s="1"/>
  <c r="D34" i="1"/>
  <c r="D36" i="1" s="1"/>
  <c r="E21" i="1"/>
  <c r="G22" i="1" s="1"/>
  <c r="E16" i="1"/>
  <c r="G12" i="1"/>
  <c r="G14" i="1" s="1"/>
  <c r="G18" i="1" s="1"/>
  <c r="G8" i="1"/>
  <c r="C36" i="2" l="1"/>
  <c r="E126" i="2"/>
  <c r="C173" i="2"/>
  <c r="C176" i="2" s="1"/>
  <c r="E176" i="2" s="1"/>
  <c r="D30" i="2"/>
  <c r="D11" i="1" s="1"/>
  <c r="E131" i="2"/>
  <c r="G131" i="2" s="1"/>
  <c r="D210" i="4"/>
  <c r="B6" i="7" s="1"/>
  <c r="N9" i="3"/>
  <c r="M58" i="3"/>
  <c r="I58" i="3"/>
  <c r="E58" i="3"/>
  <c r="E7" i="2"/>
  <c r="E12" i="2" s="1"/>
  <c r="H58" i="3"/>
  <c r="D58" i="3"/>
  <c r="J71" i="3"/>
  <c r="F71" i="3"/>
  <c r="N23" i="3"/>
  <c r="C21" i="2"/>
  <c r="C7" i="1" s="1"/>
  <c r="C8" i="1" s="1"/>
  <c r="D21" i="2"/>
  <c r="D271" i="5"/>
  <c r="D272" i="5" s="1"/>
  <c r="D166" i="2"/>
  <c r="G155" i="2"/>
  <c r="G157" i="2" s="1"/>
  <c r="E173" i="2"/>
  <c r="M71" i="3"/>
  <c r="E71" i="3"/>
  <c r="L71" i="3"/>
  <c r="H71" i="3"/>
  <c r="D71" i="3"/>
  <c r="I71" i="3"/>
  <c r="N70" i="3"/>
  <c r="B76" i="3" s="1"/>
  <c r="G58" i="3"/>
  <c r="E6" i="1"/>
  <c r="D105" i="2"/>
  <c r="N36" i="3"/>
  <c r="N63" i="3"/>
  <c r="N57" i="3"/>
  <c r="N72" i="3" s="1"/>
  <c r="N69" i="3"/>
  <c r="J58" i="3"/>
  <c r="F58" i="3"/>
  <c r="N64" i="3"/>
  <c r="K58" i="3"/>
  <c r="D139" i="2"/>
  <c r="C130" i="2"/>
  <c r="G130" i="2" s="1"/>
  <c r="K68" i="3"/>
  <c r="K71" i="3" s="1"/>
  <c r="G68" i="3"/>
  <c r="G71" i="3" s="1"/>
  <c r="C68" i="3"/>
  <c r="C71" i="3" s="1"/>
  <c r="B71" i="3"/>
  <c r="B72" i="3"/>
  <c r="N59" i="3"/>
  <c r="N56" i="3"/>
  <c r="N54" i="3"/>
  <c r="N60" i="3"/>
  <c r="N55" i="3"/>
  <c r="B58" i="3"/>
  <c r="N53" i="3"/>
  <c r="C166" i="2" l="1"/>
  <c r="G126" i="2"/>
  <c r="D12" i="1"/>
  <c r="D14" i="1" s="1"/>
  <c r="D18" i="1" s="1"/>
  <c r="D22" i="1" s="1"/>
  <c r="C40" i="1" s="1"/>
  <c r="E137" i="2"/>
  <c r="D167" i="2" s="1"/>
  <c r="D168" i="2" s="1"/>
  <c r="E7" i="1"/>
  <c r="E8" i="1" s="1"/>
  <c r="D211" i="4"/>
  <c r="E36" i="2"/>
  <c r="C28" i="2" s="1"/>
  <c r="C30" i="2" s="1"/>
  <c r="C11" i="1" s="1"/>
  <c r="B8" i="7"/>
  <c r="B10" i="7" s="1"/>
  <c r="N58" i="3"/>
  <c r="C137" i="2"/>
  <c r="N68" i="3"/>
  <c r="D106" i="2" l="1"/>
  <c r="C29" i="1" s="1"/>
  <c r="E167" i="2"/>
  <c r="C139" i="2"/>
  <c r="G137" i="2"/>
  <c r="G139" i="2" s="1"/>
  <c r="E139" i="2"/>
  <c r="C32" i="1"/>
  <c r="C34" i="1" s="1"/>
  <c r="E28" i="2"/>
  <c r="E30" i="2" s="1"/>
  <c r="E166" i="2"/>
  <c r="E11" i="1"/>
  <c r="C12" i="1"/>
  <c r="N71" i="3"/>
  <c r="O69" i="3"/>
  <c r="B75" i="3" s="1"/>
  <c r="C168" i="2" l="1"/>
  <c r="E168" i="2" s="1"/>
  <c r="C36" i="1"/>
  <c r="E12" i="1"/>
  <c r="C14" i="1"/>
  <c r="C18" i="1" s="1"/>
  <c r="C22" i="1" s="1"/>
  <c r="C43" i="1" s="1"/>
  <c r="C45" i="1" s="1"/>
  <c r="E14" i="1" l="1"/>
  <c r="E18" i="1" s="1"/>
  <c r="E22" i="1" s="1"/>
</calcChain>
</file>

<file path=xl/sharedStrings.xml><?xml version="1.0" encoding="utf-8"?>
<sst xmlns="http://schemas.openxmlformats.org/spreadsheetml/2006/main" count="1026" uniqueCount="374">
  <si>
    <t>STATEMENT OF FINANCIAL ACTIVITIES FOR THE YEAR ENDED 18 MARCH 2025</t>
  </si>
  <si>
    <t>Note</t>
  </si>
  <si>
    <t>Unrestricted
Funds
£</t>
  </si>
  <si>
    <t>Restricted
Funds
£</t>
  </si>
  <si>
    <t>Total
2025</t>
  </si>
  <si>
    <t>Total
2024</t>
  </si>
  <si>
    <t>Income and Endowments from:</t>
  </si>
  <si>
    <t>Donations and Legacies</t>
  </si>
  <si>
    <t>Other Income</t>
  </si>
  <si>
    <t>Total Income</t>
  </si>
  <si>
    <t>Expenditure on:</t>
  </si>
  <si>
    <t>Charitable Activities</t>
  </si>
  <si>
    <t>Total Expenditure</t>
  </si>
  <si>
    <t>Net Income</t>
  </si>
  <si>
    <t>Transfer between Funds</t>
  </si>
  <si>
    <t>Net movement between funds</t>
  </si>
  <si>
    <t>Reconciliation of funds</t>
  </si>
  <si>
    <t>Total Funds Brought Forward</t>
  </si>
  <si>
    <t xml:space="preserve">Total Funds Carried Forward </t>
  </si>
  <si>
    <t>BALANCE SHEET AS AT 18 MARCH 2025</t>
  </si>
  <si>
    <t>2025
£</t>
  </si>
  <si>
    <t>2024
£</t>
  </si>
  <si>
    <t>Fixed Assets</t>
  </si>
  <si>
    <t>Tangible Assets</t>
  </si>
  <si>
    <t>Current Assets</t>
  </si>
  <si>
    <t>Cash at Bank and in Hand</t>
  </si>
  <si>
    <t>Net  Current Assets/(Liabilities)</t>
  </si>
  <si>
    <t>Net Assets</t>
  </si>
  <si>
    <t>Funds of the Charity</t>
  </si>
  <si>
    <t>Restricted Income Funds</t>
  </si>
  <si>
    <t>Restricted Funds</t>
  </si>
  <si>
    <t>Unrestricted Income Funds</t>
  </si>
  <si>
    <t>Unrestricted Funds</t>
  </si>
  <si>
    <t>Total Funds</t>
  </si>
  <si>
    <t>Income from Donations and Legacies</t>
  </si>
  <si>
    <t>Unrestricted
Funds
General
£</t>
  </si>
  <si>
    <t>Grants including capital grants</t>
  </si>
  <si>
    <t>Government Grants</t>
  </si>
  <si>
    <t>Grants from other charities</t>
  </si>
  <si>
    <t xml:space="preserve">  Donations from companies,
  trusts and similar proceeds</t>
  </si>
  <si>
    <t>Rental Income</t>
  </si>
  <si>
    <t>Feed In Tariff</t>
  </si>
  <si>
    <t>Events</t>
  </si>
  <si>
    <t>Total
2025
£</t>
  </si>
  <si>
    <t>Total
2024
£</t>
  </si>
  <si>
    <t>Expenditure on Charitable Activities</t>
  </si>
  <si>
    <t>Staff Costs</t>
  </si>
  <si>
    <t>Allocated Support Costs</t>
  </si>
  <si>
    <t>Governance Costs</t>
  </si>
  <si>
    <t>Analysis of goverence and support costs</t>
  </si>
  <si>
    <t>Support costs allocated to charitable activities</t>
  </si>
  <si>
    <t>Basis of
Allocation</t>
  </si>
  <si>
    <t>Cost</t>
  </si>
  <si>
    <t>Administration
Costs
£</t>
  </si>
  <si>
    <t>Premises
Costs inc
Depreciation
£</t>
  </si>
  <si>
    <t>Audit Fees</t>
  </si>
  <si>
    <t>Audit of the Financial Statements</t>
  </si>
  <si>
    <t>Other Fees Paid to Examiners</t>
  </si>
  <si>
    <t>Independent Examiner Fees</t>
  </si>
  <si>
    <t>Examination of the financial Statements</t>
  </si>
  <si>
    <t>Tangible Fixed Assets</t>
  </si>
  <si>
    <t>Land and
Buildings
£</t>
  </si>
  <si>
    <t>Furniture &amp;
Equipment
£</t>
  </si>
  <si>
    <t>Total
£</t>
  </si>
  <si>
    <t>Additions</t>
  </si>
  <si>
    <t>As at 18 March 2025</t>
  </si>
  <si>
    <t>Depreciation</t>
  </si>
  <si>
    <t>As at 19 March 2024</t>
  </si>
  <si>
    <t>Charge for the Year</t>
  </si>
  <si>
    <t>Net Book Value</t>
  </si>
  <si>
    <t>As at 18 March 2024</t>
  </si>
  <si>
    <t>Cash and Cash equivalents</t>
  </si>
  <si>
    <t>Cash at Bank</t>
  </si>
  <si>
    <t>Funds</t>
  </si>
  <si>
    <t>Balance at
19 March 24
£</t>
  </si>
  <si>
    <t>Incoming
Resources
£</t>
  </si>
  <si>
    <t>Resources
Expended
£</t>
  </si>
  <si>
    <t>Transfers
£</t>
  </si>
  <si>
    <t>Balance at
19 March 25
£</t>
  </si>
  <si>
    <t>General Fund</t>
  </si>
  <si>
    <t>Development Project</t>
  </si>
  <si>
    <t>PKC Fridge</t>
  </si>
  <si>
    <t>PKC Warm</t>
  </si>
  <si>
    <t>PKC Cinema</t>
  </si>
  <si>
    <t>The Gannochy Trust</t>
  </si>
  <si>
    <t>The Mushroom Trust</t>
  </si>
  <si>
    <t>Total Restricted Funds</t>
  </si>
  <si>
    <t>Balance at
19 March 23
£</t>
  </si>
  <si>
    <t>The Robertson Trust</t>
  </si>
  <si>
    <t>The restricted funds represent grants as described above.  The Development Project is the building of the community hub</t>
  </si>
  <si>
    <t>Analysis of net assets between funds</t>
  </si>
  <si>
    <t>Current Liabilities</t>
  </si>
  <si>
    <t>Total funds
at 18 March 25</t>
  </si>
  <si>
    <t>Total funds
at 18 March 24</t>
  </si>
  <si>
    <t>grants</t>
  </si>
  <si>
    <t>Basic</t>
  </si>
  <si>
    <t>Tax</t>
  </si>
  <si>
    <t>Pension</t>
  </si>
  <si>
    <t>other Deductions</t>
  </si>
  <si>
    <t>Nett paid</t>
  </si>
  <si>
    <t>NI Ers</t>
  </si>
  <si>
    <t>Pension Ers</t>
  </si>
  <si>
    <t>NI EE</t>
  </si>
  <si>
    <t>Pension EE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</si>
  <si>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</si>
  <si>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</si>
  <si>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</si>
  <si>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</si>
  <si>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</si>
  <si>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</si>
  <si>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</si>
  <si>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</si>
  <si>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</si>
  <si>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</si>
  <si>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</si>
  <si>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</si>
  <si>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</si>
  <si>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Government Payment</t>
  </si>
  <si>
    <t>Pensions</t>
  </si>
  <si>
    <t>Basic Total</t>
  </si>
  <si>
    <t xml:space="preserve">total </t>
  </si>
  <si>
    <t>other deductions</t>
  </si>
  <si>
    <t>if any explanation required</t>
  </si>
  <si>
    <t>breakdown required for unrestricted and restricted</t>
  </si>
  <si>
    <t>figure for accounts</t>
  </si>
  <si>
    <t>INCOME</t>
  </si>
  <si>
    <t>DATE</t>
  </si>
  <si>
    <t>NAME</t>
  </si>
  <si>
    <t>REC</t>
  </si>
  <si>
    <t>Donation
Unrest</t>
  </si>
  <si>
    <t>Donation
Rest</t>
  </si>
  <si>
    <t>Govern
Grant
Unrest</t>
  </si>
  <si>
    <t>Govern
Grant
Rest</t>
  </si>
  <si>
    <t>Other
Grants
Unrest</t>
  </si>
  <si>
    <t>Other
Grants
Rest</t>
  </si>
  <si>
    <t>Rental</t>
  </si>
  <si>
    <t>TOTAL</t>
  </si>
  <si>
    <t>Description</t>
  </si>
  <si>
    <t>EXPENDITURE</t>
  </si>
  <si>
    <t>Salary</t>
  </si>
  <si>
    <t>Asset</t>
  </si>
  <si>
    <t>Office Exps</t>
  </si>
  <si>
    <t>Event Costs</t>
  </si>
  <si>
    <t>Rental Costs</t>
  </si>
  <si>
    <t>High Speed Training CD</t>
  </si>
  <si>
    <t>Yes</t>
  </si>
  <si>
    <t>Talk Talk</t>
  </si>
  <si>
    <t>Tesco</t>
  </si>
  <si>
    <t>PKC</t>
  </si>
  <si>
    <t>Bank</t>
  </si>
  <si>
    <t>Thursday Friends</t>
  </si>
  <si>
    <t>Unsure of Breakdown</t>
  </si>
  <si>
    <t>Bioregioning Tayside</t>
  </si>
  <si>
    <t>Rural Transport</t>
  </si>
  <si>
    <t>Cluff</t>
  </si>
  <si>
    <t>Dawson</t>
  </si>
  <si>
    <t>Flemming</t>
  </si>
  <si>
    <t>Angela</t>
  </si>
  <si>
    <t>Cleaning</t>
  </si>
  <si>
    <t>Ann Le Gal</t>
  </si>
  <si>
    <t>Jeff Coull</t>
  </si>
  <si>
    <t>Square</t>
  </si>
  <si>
    <t>Child Maint</t>
  </si>
  <si>
    <t>Marc Flemming Wages deduction</t>
  </si>
  <si>
    <t>EDF</t>
  </si>
  <si>
    <t>TV Licence</t>
  </si>
  <si>
    <t>TOTALS</t>
  </si>
  <si>
    <t>BANK RECONCILIATION</t>
  </si>
  <si>
    <t>Opening Balance as at 18 March 24</t>
  </si>
  <si>
    <t>Add Income</t>
  </si>
  <si>
    <t>Deduct Expenditure</t>
  </si>
  <si>
    <t>Closing Balance as at 18 March 25</t>
  </si>
  <si>
    <t>Bank Statement as at 18 March 25</t>
  </si>
  <si>
    <t>Gannochy</t>
  </si>
  <si>
    <t>Mushroom</t>
  </si>
  <si>
    <t>Premises</t>
  </si>
  <si>
    <t>admin</t>
  </si>
  <si>
    <t>premises</t>
  </si>
  <si>
    <t>staff</t>
  </si>
  <si>
    <t>b/s</t>
  </si>
  <si>
    <t>Governence</t>
  </si>
  <si>
    <t>Fridge</t>
  </si>
  <si>
    <t>Asda</t>
  </si>
  <si>
    <t>Grant</t>
  </si>
  <si>
    <t>Disposal</t>
  </si>
  <si>
    <t>Kirsty Cluff</t>
  </si>
  <si>
    <t>Other</t>
  </si>
  <si>
    <t>not linked</t>
  </si>
  <si>
    <t>PKC Waste</t>
  </si>
  <si>
    <t>Square Shop</t>
  </si>
  <si>
    <t>Café Reality</t>
  </si>
  <si>
    <t>44 Plywood Dining Chairs</t>
  </si>
  <si>
    <t>Scotmid</t>
  </si>
  <si>
    <t>Name Kirsty Cluff</t>
  </si>
  <si>
    <t>Name Graeme Dawson</t>
  </si>
  <si>
    <t>yes</t>
  </si>
  <si>
    <t>Freezer Repayment - spoke to Kirsty</t>
  </si>
  <si>
    <t>Film Bank</t>
  </si>
  <si>
    <t>Co-an</t>
  </si>
  <si>
    <t>Metroplan</t>
  </si>
  <si>
    <t xml:space="preserve">Noticeboard- need to find </t>
  </si>
  <si>
    <t>Pay In</t>
  </si>
  <si>
    <t>used for Community cooking classes</t>
  </si>
  <si>
    <t>HMRC</t>
  </si>
  <si>
    <t>PAYE/NIC Payment</t>
  </si>
  <si>
    <t>CAYAG</t>
  </si>
  <si>
    <t>Two Sisters</t>
  </si>
  <si>
    <t>Mach Recruitment</t>
  </si>
  <si>
    <t>Marc Fleming</t>
  </si>
  <si>
    <t>Graeme Dawson</t>
  </si>
  <si>
    <t>Name Marc Fleming</t>
  </si>
  <si>
    <t>Assuming Crafty Hands in March £127.50</t>
  </si>
  <si>
    <t>Alzheimer</t>
  </si>
  <si>
    <t>,</t>
  </si>
  <si>
    <t>square</t>
  </si>
  <si>
    <t>Wave</t>
  </si>
  <si>
    <t>Water Rates</t>
  </si>
  <si>
    <t>Feed IN</t>
  </si>
  <si>
    <t>Sandison</t>
  </si>
  <si>
    <t>in file</t>
  </si>
  <si>
    <t>Morris and Young</t>
  </si>
  <si>
    <t>breakdown of insurance</t>
  </si>
  <si>
    <t>no receipt in file - audit fee as per emails</t>
  </si>
  <si>
    <t>Alyth Fim Club</t>
  </si>
  <si>
    <t>EDf</t>
  </si>
  <si>
    <t>Good energy</t>
  </si>
  <si>
    <t>BigDug Ltd</t>
  </si>
  <si>
    <t>Blairmont Blinds</t>
  </si>
  <si>
    <t>Blinds</t>
  </si>
  <si>
    <t>ASCO</t>
  </si>
  <si>
    <t>Tayside Bat Group</t>
  </si>
  <si>
    <t>Amazon</t>
  </si>
  <si>
    <t>re Marc</t>
  </si>
  <si>
    <t>Transform</t>
  </si>
  <si>
    <t>Shepherd Construction</t>
  </si>
  <si>
    <t>Silent Noize Events</t>
  </si>
  <si>
    <t>50 headsets and transmitters - was this hired or bought</t>
  </si>
  <si>
    <t>£200 held back</t>
  </si>
  <si>
    <t>Ebay</t>
  </si>
  <si>
    <t>First Aid</t>
  </si>
  <si>
    <t>Cost of holding a First Aid Course - where to code</t>
  </si>
  <si>
    <t>Silent Noise</t>
  </si>
  <si>
    <t xml:space="preserve"> </t>
  </si>
  <si>
    <t>What is this</t>
  </si>
  <si>
    <t>2 Sisters Group</t>
  </si>
  <si>
    <t>Go Daddy</t>
  </si>
  <si>
    <t>Website Host? No Invoice</t>
  </si>
  <si>
    <t>Ink for Printers?</t>
  </si>
  <si>
    <t>Lidl</t>
  </si>
  <si>
    <t>Active Arts</t>
  </si>
  <si>
    <t>Adexa</t>
  </si>
  <si>
    <t>Catering Equipment Firm - what was this for and where do I put this?</t>
  </si>
  <si>
    <t>RW Bell</t>
  </si>
  <si>
    <t>Heat Pump Service</t>
  </si>
  <si>
    <t>PPLPRS</t>
  </si>
  <si>
    <t>The Music Licence</t>
  </si>
  <si>
    <t>Woman's Aid</t>
  </si>
  <si>
    <t>Nest - mar</t>
  </si>
  <si>
    <t>Nest- apr</t>
  </si>
  <si>
    <t>Nest- may</t>
  </si>
  <si>
    <t>Nest- jun</t>
  </si>
  <si>
    <t>Nest- jul</t>
  </si>
  <si>
    <t>Nest- aug</t>
  </si>
  <si>
    <t>Nest-sept</t>
  </si>
  <si>
    <t>Tay Foundation</t>
  </si>
  <si>
    <t>Abernethy Nook</t>
  </si>
  <si>
    <t>This is for coffee machine - where is the original - tangible asset?</t>
  </si>
  <si>
    <t>Stripe Reference</t>
  </si>
  <si>
    <t>Booking System</t>
  </si>
  <si>
    <t>ManTalk</t>
  </si>
  <si>
    <t>Nat West</t>
  </si>
  <si>
    <t>JL Greff</t>
  </si>
  <si>
    <t>Tayside Health Bd</t>
  </si>
  <si>
    <t>Nest-Oct</t>
  </si>
  <si>
    <t>J Coull</t>
  </si>
  <si>
    <t>PKC Lounge</t>
  </si>
  <si>
    <t>PKC Lounge &amp; Larder</t>
  </si>
  <si>
    <t>Lounge and Larder Grant</t>
  </si>
  <si>
    <t>Kirsty Cluff-Fareshare Bill</t>
  </si>
  <si>
    <t>Fareshare</t>
  </si>
  <si>
    <t>Kirst Cluff</t>
  </si>
  <si>
    <t>Good Energy</t>
  </si>
  <si>
    <t>Happy to Chat</t>
  </si>
  <si>
    <t>Nest - Nov</t>
  </si>
  <si>
    <t>Lauren Charlton</t>
  </si>
  <si>
    <t xml:space="preserve">Angela </t>
  </si>
  <si>
    <t>Barnardos</t>
  </si>
  <si>
    <t>Perth Citizens Adv</t>
  </si>
  <si>
    <t>Warm Welcome Fund</t>
  </si>
  <si>
    <t xml:space="preserve">PKC </t>
  </si>
  <si>
    <t>Summer Evaluation refund</t>
  </si>
  <si>
    <t>Perthshire Women</t>
  </si>
  <si>
    <t>Morrisons</t>
  </si>
  <si>
    <t>deducted</t>
  </si>
  <si>
    <t>EOS</t>
  </si>
  <si>
    <t>PAT Testing</t>
  </si>
  <si>
    <t>Tiny Talk</t>
  </si>
  <si>
    <t>Perth CAB</t>
  </si>
  <si>
    <t xml:space="preserve">Kerr </t>
  </si>
  <si>
    <t>DWP Debt Management</t>
  </si>
  <si>
    <t>also SPP</t>
  </si>
  <si>
    <t>Nest- Dec</t>
  </si>
  <si>
    <t>Karen Kerr</t>
  </si>
  <si>
    <t>Nest</t>
  </si>
  <si>
    <t>angela</t>
  </si>
  <si>
    <t>Commercial Ref Services</t>
  </si>
  <si>
    <t>Michelle Cowburn</t>
  </si>
  <si>
    <t>Name Michelle Cowburn</t>
  </si>
  <si>
    <t>Nest - Mar</t>
  </si>
  <si>
    <t>Everflow</t>
  </si>
  <si>
    <t>Date</t>
  </si>
  <si>
    <t>Warmspace</t>
  </si>
  <si>
    <t>CIF</t>
  </si>
  <si>
    <t>Premier</t>
  </si>
  <si>
    <t>Hub</t>
  </si>
  <si>
    <t>Expenses</t>
  </si>
  <si>
    <t>Co-op</t>
  </si>
  <si>
    <t>WW</t>
  </si>
  <si>
    <t>Dunelm</t>
  </si>
  <si>
    <t>Food Warehouse</t>
  </si>
  <si>
    <t>Home Bargains</t>
  </si>
  <si>
    <t>Window Cleaner</t>
  </si>
  <si>
    <t>ww</t>
  </si>
  <si>
    <t>Meat</t>
  </si>
  <si>
    <t>John Lewis</t>
  </si>
  <si>
    <t>asda</t>
  </si>
  <si>
    <t>Home Improv</t>
  </si>
  <si>
    <t>office</t>
  </si>
  <si>
    <t>Tesco (Summer Session)</t>
  </si>
  <si>
    <t>tesco</t>
  </si>
  <si>
    <t>Heritage-Fake Grass</t>
  </si>
  <si>
    <t>Moyness</t>
  </si>
  <si>
    <t>mushroom</t>
  </si>
  <si>
    <t>bothy night</t>
  </si>
  <si>
    <t>bookers</t>
  </si>
  <si>
    <t>range</t>
  </si>
  <si>
    <t>temu</t>
  </si>
  <si>
    <t>Leaving Gift</t>
  </si>
  <si>
    <t>for Marc Wages</t>
  </si>
  <si>
    <t>used as other income</t>
  </si>
  <si>
    <t>on Notes D20</t>
  </si>
  <si>
    <t>WS</t>
  </si>
  <si>
    <t>Cinema</t>
  </si>
  <si>
    <t>Office</t>
  </si>
  <si>
    <t>events</t>
  </si>
  <si>
    <t>hub</t>
  </si>
  <si>
    <t>Community Hub (Allocated Support Costs</t>
  </si>
  <si>
    <t>Net incoming/outgoing resources</t>
  </si>
  <si>
    <t>Net incoming for the year include:</t>
  </si>
  <si>
    <t>No trustees, nor any persons connected with them, have received any remuneration from the charity during the year</t>
  </si>
  <si>
    <t>Trustees remuneration and expenses</t>
  </si>
  <si>
    <t>No trustees have receiv ed any reimbursed expenses or any other benefits from the charity during the year</t>
  </si>
  <si>
    <t>NOTES TO THE FINANCIAL STATEMENTS FOR THE YEAR ENDED 18 MARCH 2025</t>
  </si>
  <si>
    <t>Other Income possibly food purchase</t>
  </si>
  <si>
    <t>The aggregate payroll costs were as follows:</t>
  </si>
  <si>
    <t>Staff costs during the year were</t>
  </si>
  <si>
    <t xml:space="preserve"> Wages and Salaries</t>
  </si>
  <si>
    <t>The monthly average number of persons (including senior management team) employed by</t>
  </si>
  <si>
    <t>the charity during the year expressed as full-time equivalents was as follows:</t>
  </si>
  <si>
    <t>2024
No</t>
  </si>
  <si>
    <t>2025
No</t>
  </si>
  <si>
    <t>Administration</t>
  </si>
  <si>
    <t>2 (2024 - 2) of the above employees participated in the Defined Contribution Pension Schemes.</t>
  </si>
  <si>
    <t>Independent Examiner's Remuneration</t>
  </si>
  <si>
    <t>Taxation</t>
  </si>
  <si>
    <t>The charity is a registered charity and is therefore exempt from taxation</t>
  </si>
  <si>
    <t>Creditors: amounts falling due within ine year</t>
  </si>
  <si>
    <t>Contributions to the employee pension schemes for the year totalled £1,216 (2024 -£2122)</t>
  </si>
  <si>
    <t>Creditors</t>
  </si>
  <si>
    <t>4 items possible tangible assets</t>
  </si>
  <si>
    <t>For restricted funds see note 15 for breakdown</t>
  </si>
  <si>
    <t>VOUCHERS</t>
  </si>
  <si>
    <t>Nisbets</t>
  </si>
  <si>
    <t>Alan Brown (Joiner)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</si>
</sst>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;[Red]\-&quot;£&quot;#,##0"/>
    <numFmt numFmtId="165" formatCode="&quot;£&quot;#,##0.00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6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3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1" fontId="1" fillId="0" borderId="0" xfId="0" applyNumberFormat="1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4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0" fillId="0" borderId="4" xfId="0" applyNumberForma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165" fontId="0" fillId="0" borderId="0" xfId="0" applyNumberFormat="1"/>
    <xf numFmtId="165" fontId="0" fillId="0" borderId="3" xfId="0" applyNumberFormat="1" applyBorder="1"/>
    <xf numFmtId="3" fontId="0" fillId="2" borderId="0" xfId="0" applyNumberForma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0" fillId="2" borderId="0" xfId="0" applyFill="1"/>
    <xf numFmtId="2" fontId="0" fillId="2" borderId="0" xfId="0" applyNumberForma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9E87-BC4F-4CCC-A42A-A1B1F50C40BD}">
  <dimension ref="A1:G49"/>
  <sheetViews>
    <sheetView zoomScale="90" zoomScaleNormal="90" workbookViewId="0">
      <selection activeCell="B12" sqref="B12"/>
    </sheetView>
  </sheetViews>
  <sheetFormatPr baseColWidth="10" defaultColWidth="8.83203125" defaultRowHeight="14"/>
  <cols>
    <col min="1" max="1" width="28.1640625" customWidth="1"/>
    <col min="3" max="3" width="13.33203125" customWidth="1"/>
    <col min="4" max="4" width="11.83203125" customWidth="1"/>
    <col min="6" max="6" width="4.1640625" customWidth="1"/>
  </cols>
  <sheetData>
    <row r="1" spans="1:7">
      <c r="A1" s="38" t="s">
        <v>0</v>
      </c>
      <c r="B1" s="39"/>
      <c r="C1" s="39"/>
      <c r="D1" s="39"/>
      <c r="E1" s="39"/>
      <c r="F1" s="39"/>
      <c r="G1" s="39"/>
    </row>
    <row r="4" spans="1:7" ht="45">
      <c r="B4" s="17" t="s">
        <v>1</v>
      </c>
      <c r="C4" s="18" t="s">
        <v>2</v>
      </c>
      <c r="D4" s="18" t="s">
        <v>3</v>
      </c>
      <c r="E4" s="18" t="s">
        <v>4</v>
      </c>
      <c r="F4" s="18"/>
      <c r="G4" s="19" t="s">
        <v>5</v>
      </c>
    </row>
    <row r="5" spans="1:7">
      <c r="A5" s="2" t="s">
        <v>6</v>
      </c>
      <c r="G5" s="11"/>
    </row>
    <row r="6" spans="1:7">
      <c r="A6" t="s">
        <v>7</v>
      </c>
      <c r="B6">
        <v>3</v>
      </c>
      <c r="C6" s="20">
        <f>Notes!C10+Notes!C7</f>
        <v>2372.37</v>
      </c>
      <c r="D6" s="20">
        <f>Notes!D12</f>
        <v>30914</v>
      </c>
      <c r="E6" s="20">
        <f>SUM(C6:D6)</f>
        <v>33286.370000000003</v>
      </c>
      <c r="F6" s="20"/>
      <c r="G6" s="21">
        <v>77754</v>
      </c>
    </row>
    <row r="7" spans="1:7">
      <c r="A7" t="s">
        <v>8</v>
      </c>
      <c r="B7">
        <v>4</v>
      </c>
      <c r="C7" s="22">
        <f>Notes!C21</f>
        <v>43060.479999999996</v>
      </c>
      <c r="D7" s="22"/>
      <c r="E7" s="22">
        <f>SUM(C7:D7)</f>
        <v>43060.479999999996</v>
      </c>
      <c r="F7" s="22"/>
      <c r="G7" s="23">
        <v>20525</v>
      </c>
    </row>
    <row r="8" spans="1:7">
      <c r="A8" s="2" t="s">
        <v>9</v>
      </c>
      <c r="C8" s="20">
        <f>SUM(C6:C7)</f>
        <v>45432.85</v>
      </c>
      <c r="D8" s="20">
        <f>SUM(D6:D7)</f>
        <v>30914</v>
      </c>
      <c r="E8" s="20">
        <f>SUM(E6:E7)</f>
        <v>76346.850000000006</v>
      </c>
      <c r="F8" s="20"/>
      <c r="G8" s="21">
        <f>SUM(G6:G7)</f>
        <v>98279</v>
      </c>
    </row>
    <row r="9" spans="1:7">
      <c r="C9" s="20"/>
      <c r="D9" s="20"/>
      <c r="E9" s="20"/>
      <c r="F9" s="20"/>
      <c r="G9" s="21"/>
    </row>
    <row r="10" spans="1:7">
      <c r="A10" s="2" t="s">
        <v>10</v>
      </c>
      <c r="C10" s="20"/>
      <c r="D10" s="20"/>
      <c r="E10" s="20"/>
      <c r="F10" s="20"/>
      <c r="G10" s="21"/>
    </row>
    <row r="11" spans="1:7">
      <c r="A11" t="s">
        <v>11</v>
      </c>
      <c r="B11">
        <v>15</v>
      </c>
      <c r="C11" s="22">
        <f>Notes!C30</f>
        <v>72125.409999999989</v>
      </c>
      <c r="D11" s="22">
        <f>Notes!D30</f>
        <v>30036.63</v>
      </c>
      <c r="E11" s="22">
        <f>SUM(C11:D11)</f>
        <v>102162.04</v>
      </c>
      <c r="F11" s="22"/>
      <c r="G11" s="23">
        <v>56107</v>
      </c>
    </row>
    <row r="12" spans="1:7">
      <c r="A12" s="2" t="s">
        <v>12</v>
      </c>
      <c r="C12" s="20">
        <f>C11</f>
        <v>72125.409999999989</v>
      </c>
      <c r="D12" s="20">
        <f>D11</f>
        <v>30036.63</v>
      </c>
      <c r="E12" s="20">
        <f>SUM(C12:D12)</f>
        <v>102162.04</v>
      </c>
      <c r="F12" s="20"/>
      <c r="G12" s="21">
        <f>G11</f>
        <v>56107</v>
      </c>
    </row>
    <row r="13" spans="1:7">
      <c r="C13" s="20"/>
      <c r="D13" s="20"/>
      <c r="E13" s="20"/>
      <c r="F13" s="20"/>
      <c r="G13" s="21"/>
    </row>
    <row r="14" spans="1:7">
      <c r="A14" s="2" t="s">
        <v>13</v>
      </c>
      <c r="C14" s="20">
        <f>C8-C12</f>
        <v>-26692.55999999999</v>
      </c>
      <c r="D14" s="20">
        <f>D8-D12</f>
        <v>877.36999999999898</v>
      </c>
      <c r="E14" s="20">
        <f>E8-E12</f>
        <v>-25815.189999999988</v>
      </c>
      <c r="F14" s="20"/>
      <c r="G14" s="21">
        <f>G8-G12</f>
        <v>42172</v>
      </c>
    </row>
    <row r="15" spans="1:7">
      <c r="C15" s="20"/>
      <c r="D15" s="20"/>
      <c r="E15" s="20"/>
      <c r="F15" s="20"/>
      <c r="G15" s="21"/>
    </row>
    <row r="16" spans="1:7">
      <c r="A16" t="s">
        <v>14</v>
      </c>
      <c r="C16" s="20"/>
      <c r="D16" s="20"/>
      <c r="E16" s="20">
        <f>SUM(C16:D16)</f>
        <v>0</v>
      </c>
      <c r="F16" s="20"/>
      <c r="G16" s="21">
        <v>0</v>
      </c>
    </row>
    <row r="17" spans="1:7">
      <c r="C17" s="22"/>
      <c r="D17" s="22"/>
      <c r="E17" s="22"/>
      <c r="F17" s="22"/>
      <c r="G17" s="23"/>
    </row>
    <row r="18" spans="1:7">
      <c r="A18" s="2" t="s">
        <v>15</v>
      </c>
      <c r="C18" s="20">
        <f>C14+C16</f>
        <v>-26692.55999999999</v>
      </c>
      <c r="D18" s="20">
        <f>D14+D16</f>
        <v>877.36999999999898</v>
      </c>
      <c r="E18" s="20">
        <f>E14+E16</f>
        <v>-25815.189999999988</v>
      </c>
      <c r="F18" s="20"/>
      <c r="G18" s="21">
        <f>G14+G16</f>
        <v>42172</v>
      </c>
    </row>
    <row r="19" spans="1:7">
      <c r="C19" s="20"/>
      <c r="D19" s="20"/>
      <c r="E19" s="20"/>
      <c r="F19" s="20"/>
      <c r="G19" s="21"/>
    </row>
    <row r="20" spans="1:7">
      <c r="A20" s="2" t="s">
        <v>16</v>
      </c>
      <c r="C20" s="20"/>
      <c r="D20" s="20"/>
      <c r="E20" s="20"/>
      <c r="F20" s="20"/>
      <c r="G20" s="21"/>
    </row>
    <row r="21" spans="1:7">
      <c r="A21" t="s">
        <v>17</v>
      </c>
      <c r="C21" s="20">
        <v>8679</v>
      </c>
      <c r="D21" s="20">
        <v>444296</v>
      </c>
      <c r="E21" s="20">
        <f>SUM(C21:D21)</f>
        <v>452975</v>
      </c>
      <c r="F21" s="20"/>
      <c r="G21" s="21">
        <v>410803</v>
      </c>
    </row>
    <row r="22" spans="1:7" ht="15" thickBot="1">
      <c r="A22" s="2" t="s">
        <v>18</v>
      </c>
      <c r="C22" s="24">
        <f>C18+C21</f>
        <v>-18013.55999999999</v>
      </c>
      <c r="D22" s="24">
        <f>D18+D21</f>
        <v>445173.37</v>
      </c>
      <c r="E22" s="24">
        <f>E18+E21</f>
        <v>427159.81</v>
      </c>
      <c r="F22" s="24"/>
      <c r="G22" s="25">
        <f>E21</f>
        <v>452975</v>
      </c>
    </row>
    <row r="25" spans="1:7">
      <c r="A25" s="38" t="s">
        <v>19</v>
      </c>
      <c r="B25" s="39"/>
      <c r="C25" s="39"/>
      <c r="D25" s="39"/>
      <c r="E25" s="39"/>
      <c r="F25" s="39"/>
      <c r="G25" s="39"/>
    </row>
    <row r="27" spans="1:7" ht="30">
      <c r="A27" s="17"/>
      <c r="B27" s="17" t="s">
        <v>1</v>
      </c>
      <c r="C27" s="18" t="s">
        <v>20</v>
      </c>
      <c r="D27" s="19" t="s">
        <v>21</v>
      </c>
    </row>
    <row r="28" spans="1:7">
      <c r="A28" s="2" t="s">
        <v>22</v>
      </c>
      <c r="D28" s="11"/>
    </row>
    <row r="29" spans="1:7">
      <c r="A29" t="s">
        <v>23</v>
      </c>
      <c r="B29">
        <v>12</v>
      </c>
      <c r="C29" s="20">
        <f>Notes!D106</f>
        <v>403197.25</v>
      </c>
      <c r="D29" s="21">
        <v>404263</v>
      </c>
    </row>
    <row r="30" spans="1:7">
      <c r="C30" s="20"/>
      <c r="D30" s="21"/>
    </row>
    <row r="31" spans="1:7">
      <c r="A31" s="2" t="s">
        <v>24</v>
      </c>
      <c r="C31" s="20"/>
      <c r="D31" s="21"/>
    </row>
    <row r="32" spans="1:7">
      <c r="A32" t="s">
        <v>25</v>
      </c>
      <c r="B32">
        <v>13</v>
      </c>
      <c r="C32" s="20">
        <f>Notes!B113</f>
        <v>23962.77999999997</v>
      </c>
      <c r="D32" s="21">
        <v>48712</v>
      </c>
    </row>
    <row r="33" spans="1:4">
      <c r="C33" s="20"/>
      <c r="D33" s="21"/>
    </row>
    <row r="34" spans="1:4">
      <c r="A34" s="2" t="s">
        <v>26</v>
      </c>
      <c r="C34" s="26">
        <f>C32</f>
        <v>23962.77999999997</v>
      </c>
      <c r="D34" s="27">
        <f>D32</f>
        <v>48712</v>
      </c>
    </row>
    <row r="35" spans="1:4">
      <c r="C35" s="20"/>
      <c r="D35" s="21"/>
    </row>
    <row r="36" spans="1:4" ht="15" thickBot="1">
      <c r="A36" s="2" t="s">
        <v>27</v>
      </c>
      <c r="C36" s="24">
        <f>C29+C34</f>
        <v>427160.02999999997</v>
      </c>
      <c r="D36" s="25">
        <f>D29+D34</f>
        <v>452975</v>
      </c>
    </row>
    <row r="37" spans="1:4">
      <c r="C37" s="20"/>
      <c r="D37" s="21"/>
    </row>
    <row r="38" spans="1:4">
      <c r="A38" s="2" t="s">
        <v>28</v>
      </c>
      <c r="C38" s="20"/>
      <c r="D38" s="21"/>
    </row>
    <row r="39" spans="1:4">
      <c r="A39" t="s">
        <v>29</v>
      </c>
      <c r="C39" s="20"/>
      <c r="D39" s="21"/>
    </row>
    <row r="40" spans="1:4">
      <c r="A40" s="2" t="s">
        <v>30</v>
      </c>
      <c r="C40" s="20">
        <f>D22</f>
        <v>445173.37</v>
      </c>
      <c r="D40" s="21">
        <f>D21</f>
        <v>444296</v>
      </c>
    </row>
    <row r="41" spans="1:4">
      <c r="C41" s="20"/>
      <c r="D41" s="21"/>
    </row>
    <row r="42" spans="1:4">
      <c r="A42" s="2" t="s">
        <v>31</v>
      </c>
      <c r="C42" s="20"/>
      <c r="D42" s="21"/>
    </row>
    <row r="43" spans="1:4">
      <c r="A43" t="s">
        <v>32</v>
      </c>
      <c r="C43" s="20">
        <f>C22</f>
        <v>-18013.55999999999</v>
      </c>
      <c r="D43" s="21">
        <f>C21</f>
        <v>8679</v>
      </c>
    </row>
    <row r="44" spans="1:4">
      <c r="C44" s="20"/>
      <c r="D44" s="21"/>
    </row>
    <row r="45" spans="1:4" ht="15" thickBot="1">
      <c r="A45" s="2" t="s">
        <v>33</v>
      </c>
      <c r="B45">
        <v>15</v>
      </c>
      <c r="C45" s="24">
        <f>C40+C43</f>
        <v>427159.81</v>
      </c>
      <c r="D45" s="25">
        <f>D40+D43</f>
        <v>452975</v>
      </c>
    </row>
    <row r="47" spans="1:4">
      <c r="C47" s="4"/>
    </row>
    <row r="48" spans="1:4">
      <c r="C48" s="4"/>
    </row>
    <row r="49" spans="3:3">
      <c r="C49" s="4"/>
    </row>
  </sheetData>
  <mergeCells count="2">
    <mergeCell ref="A1:G1"/>
    <mergeCell ref="A25:G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BD26-D97B-4C9F-8C9D-213088EDA0B0}">
  <sheetPr>
    <pageSetUpPr fitToPage="1"/>
  </sheetPr>
  <dimension ref="A1:J176"/>
  <sheetViews>
    <sheetView zoomScaleNormal="100" workbookViewId="0">
      <selection activeCell="J131" sqref="J131"/>
    </sheetView>
  </sheetViews>
  <sheetFormatPr baseColWidth="10" defaultColWidth="8.83203125" defaultRowHeight="14"/>
  <cols>
    <col min="1" max="1" width="33.5" customWidth="1"/>
    <col min="2" max="2" width="10.6640625" customWidth="1"/>
    <col min="3" max="3" width="15" customWidth="1"/>
    <col min="4" max="4" width="11.5" customWidth="1"/>
    <col min="5" max="5" width="14.1640625" customWidth="1"/>
    <col min="6" max="6" width="8.83203125" customWidth="1"/>
    <col min="7" max="7" width="11.5" customWidth="1"/>
  </cols>
  <sheetData>
    <row r="1" spans="1:6" s="2" customFormat="1">
      <c r="A1" s="2" t="s">
        <v>352</v>
      </c>
    </row>
    <row r="3" spans="1:6">
      <c r="A3" s="2">
        <v>3</v>
      </c>
      <c r="B3" s="2" t="s">
        <v>34</v>
      </c>
    </row>
    <row r="5" spans="1:6" ht="60">
      <c r="C5" s="18" t="s">
        <v>35</v>
      </c>
      <c r="D5" s="18" t="s">
        <v>3</v>
      </c>
      <c r="E5" s="18" t="s">
        <v>43</v>
      </c>
      <c r="F5" s="19" t="s">
        <v>44</v>
      </c>
    </row>
    <row r="6" spans="1:6">
      <c r="A6" s="2" t="s">
        <v>7</v>
      </c>
      <c r="F6" s="11"/>
    </row>
    <row r="7" spans="1:6" ht="30">
      <c r="A7" s="1" t="s">
        <v>39</v>
      </c>
      <c r="B7" s="10"/>
      <c r="C7" s="20">
        <f>Vouchers!B26</f>
        <v>300</v>
      </c>
      <c r="D7" s="20">
        <f>'Bank Income'!F210</f>
        <v>0</v>
      </c>
      <c r="E7" s="20">
        <f>SUM(C7:D7)</f>
        <v>300</v>
      </c>
      <c r="F7" s="21">
        <v>0</v>
      </c>
    </row>
    <row r="8" spans="1:6">
      <c r="C8" s="20"/>
      <c r="D8" s="20"/>
      <c r="E8" s="20"/>
      <c r="F8" s="21"/>
    </row>
    <row r="9" spans="1:6">
      <c r="A9" s="2" t="s">
        <v>36</v>
      </c>
      <c r="C9" s="20"/>
      <c r="D9" s="20"/>
      <c r="E9" s="20"/>
      <c r="F9" s="21"/>
    </row>
    <row r="10" spans="1:6">
      <c r="A10" t="s">
        <v>37</v>
      </c>
      <c r="C10" s="20">
        <f>'Bank Income'!G210</f>
        <v>2072.37</v>
      </c>
      <c r="D10" s="20">
        <f>'Bank Income'!H210</f>
        <v>5914</v>
      </c>
      <c r="E10" s="20">
        <f>SUM(C10:D10)</f>
        <v>7986.37</v>
      </c>
      <c r="F10" s="21">
        <v>19054</v>
      </c>
    </row>
    <row r="11" spans="1:6">
      <c r="A11" t="s">
        <v>38</v>
      </c>
      <c r="C11" s="20">
        <f>'Bank Income'!I210</f>
        <v>0</v>
      </c>
      <c r="D11" s="20">
        <f>'Bank Income'!J210</f>
        <v>25000</v>
      </c>
      <c r="E11" s="20">
        <f>SUM(C11:D11)</f>
        <v>25000</v>
      </c>
      <c r="F11" s="21">
        <v>58700</v>
      </c>
    </row>
    <row r="12" spans="1:6" ht="15" thickBot="1">
      <c r="C12" s="24">
        <f>SUM(C7:C11)</f>
        <v>2372.37</v>
      </c>
      <c r="D12" s="24">
        <f>SUM(D7:D11)</f>
        <v>30914</v>
      </c>
      <c r="E12" s="24">
        <f>SUM(E7:E11)</f>
        <v>33286.369999999995</v>
      </c>
      <c r="F12" s="25">
        <f>SUM(F10:F11)</f>
        <v>77754</v>
      </c>
    </row>
    <row r="15" spans="1:6">
      <c r="A15">
        <v>4</v>
      </c>
      <c r="B15" s="2" t="s">
        <v>8</v>
      </c>
    </row>
    <row r="16" spans="1:6" ht="60">
      <c r="C16" s="18" t="s">
        <v>35</v>
      </c>
      <c r="D16" s="18" t="s">
        <v>43</v>
      </c>
      <c r="E16" s="19" t="s">
        <v>44</v>
      </c>
    </row>
    <row r="17" spans="1:9">
      <c r="A17" t="s">
        <v>41</v>
      </c>
      <c r="C17" s="20">
        <f>'Bank Income'!K210</f>
        <v>979.19999999999993</v>
      </c>
      <c r="D17" s="20">
        <f>C17</f>
        <v>979.19999999999993</v>
      </c>
      <c r="E17" s="21">
        <v>243</v>
      </c>
    </row>
    <row r="18" spans="1:9">
      <c r="A18" t="s">
        <v>40</v>
      </c>
      <c r="C18" s="20">
        <f>'Bank Income'!L210</f>
        <v>36119.67</v>
      </c>
      <c r="D18" s="20">
        <f>C18</f>
        <v>36119.67</v>
      </c>
      <c r="E18" s="21">
        <v>11142</v>
      </c>
    </row>
    <row r="19" spans="1:9">
      <c r="A19" t="s">
        <v>42</v>
      </c>
      <c r="C19" s="20">
        <f>'Bank Income'!M210+'Cash Spend'!C78</f>
        <v>3447.3199999999993</v>
      </c>
      <c r="D19" s="20">
        <f>C19</f>
        <v>3447.3199999999993</v>
      </c>
      <c r="E19" s="21">
        <v>9140</v>
      </c>
    </row>
    <row r="20" spans="1:9">
      <c r="A20" t="s">
        <v>353</v>
      </c>
      <c r="C20" s="20">
        <f>'Bank Income'!N210</f>
        <v>2514.29</v>
      </c>
      <c r="D20" s="20">
        <f>C20</f>
        <v>2514.29</v>
      </c>
      <c r="E20" s="21">
        <v>0</v>
      </c>
      <c r="I20" s="4"/>
    </row>
    <row r="21" spans="1:9" ht="15" thickBot="1">
      <c r="C21" s="24">
        <f>SUM(C17:C20)</f>
        <v>43060.479999999996</v>
      </c>
      <c r="D21" s="24">
        <f>SUM(D17:D20)</f>
        <v>43060.479999999996</v>
      </c>
      <c r="E21" s="25">
        <f>SUM(E17:E20)</f>
        <v>20525</v>
      </c>
      <c r="I21" s="4"/>
    </row>
    <row r="24" spans="1:9">
      <c r="A24" s="2">
        <v>5</v>
      </c>
      <c r="B24" s="2" t="s">
        <v>45</v>
      </c>
    </row>
    <row r="26" spans="1:9" ht="60">
      <c r="B26" t="s">
        <v>1</v>
      </c>
      <c r="C26" s="18" t="s">
        <v>35</v>
      </c>
      <c r="D26" s="18" t="s">
        <v>3</v>
      </c>
      <c r="E26" s="18" t="s">
        <v>43</v>
      </c>
      <c r="F26" s="19" t="s">
        <v>44</v>
      </c>
    </row>
    <row r="27" spans="1:9">
      <c r="A27" t="s">
        <v>46</v>
      </c>
      <c r="B27">
        <v>9</v>
      </c>
      <c r="C27" s="20">
        <f>'Bank Expenditure'!E271</f>
        <v>49840.419999999984</v>
      </c>
      <c r="D27" s="20"/>
      <c r="E27" s="20">
        <f>SUM(C27:D27)</f>
        <v>49840.419999999984</v>
      </c>
      <c r="F27" s="21">
        <v>35908</v>
      </c>
    </row>
    <row r="28" spans="1:9">
      <c r="A28" t="s">
        <v>47</v>
      </c>
      <c r="B28">
        <v>6</v>
      </c>
      <c r="C28" s="20">
        <f>E36</f>
        <v>20124.990000000002</v>
      </c>
      <c r="D28" s="20">
        <f>'Bank Expenditure'!M271+'Bank Expenditure'!N271+'Bank Expenditure'!P271+'Bank Expenditure'!Q271+'Bank Expenditure'!R271+'Bank Expenditure'!O271+'Cash Spend'!D78+'Cash Spend'!E78+'Cash Spend'!H78+'Cash Spend'!K78+Vouchers!B28+53</f>
        <v>30036.63</v>
      </c>
      <c r="E28" s="20">
        <f>SUM(C28:D28)</f>
        <v>50161.62</v>
      </c>
      <c r="F28" s="21">
        <v>15399</v>
      </c>
    </row>
    <row r="29" spans="1:9">
      <c r="A29" t="s">
        <v>48</v>
      </c>
      <c r="B29">
        <v>6</v>
      </c>
      <c r="C29" s="20">
        <f>'Bank Expenditure'!K271</f>
        <v>2160</v>
      </c>
      <c r="D29" s="20"/>
      <c r="E29" s="20">
        <f>SUM(C29:D29)</f>
        <v>2160</v>
      </c>
      <c r="F29" s="21">
        <v>4800</v>
      </c>
    </row>
    <row r="30" spans="1:9" ht="15" thickBot="1">
      <c r="C30" s="24">
        <f>SUM(C27:C29)</f>
        <v>72125.409999999989</v>
      </c>
      <c r="D30" s="24">
        <f>SUM(D27:D29)</f>
        <v>30036.63</v>
      </c>
      <c r="E30" s="24">
        <f>SUM(E27:E29)</f>
        <v>102162.03999999998</v>
      </c>
      <c r="F30" s="25">
        <f>SUM(F27:F29)</f>
        <v>56107</v>
      </c>
    </row>
    <row r="32" spans="1:9">
      <c r="A32" s="2">
        <v>6</v>
      </c>
      <c r="B32" s="2" t="s">
        <v>49</v>
      </c>
    </row>
    <row r="33" spans="1:6">
      <c r="A33" s="2" t="s">
        <v>50</v>
      </c>
    </row>
    <row r="35" spans="1:6" ht="60">
      <c r="B35" s="14" t="s">
        <v>51</v>
      </c>
      <c r="C35" s="18" t="s">
        <v>53</v>
      </c>
      <c r="D35" s="18" t="s">
        <v>54</v>
      </c>
      <c r="E35" s="18" t="s">
        <v>43</v>
      </c>
      <c r="F35" s="19" t="s">
        <v>44</v>
      </c>
    </row>
    <row r="36" spans="1:6">
      <c r="A36" t="s">
        <v>346</v>
      </c>
      <c r="B36" t="s">
        <v>52</v>
      </c>
      <c r="C36" s="20">
        <f>'Bank Expenditure'!G271+'Bank Expenditure'!I271+'Cash Spend'!F78+'Cash Spend'!I78+'Cash Spend'!J78+'Cash Spend'!L78+Vouchers!B29-53</f>
        <v>4825.3900000000003</v>
      </c>
      <c r="D36" s="20">
        <f>C101+'Bank Expenditure'!H271+'Bank Expenditure'!J271+'Cash Spend'!G78</f>
        <v>15299.6</v>
      </c>
      <c r="E36" s="20">
        <f>SUM(C36:D36)</f>
        <v>20124.990000000002</v>
      </c>
      <c r="F36" s="21">
        <v>15399</v>
      </c>
    </row>
    <row r="38" spans="1:6" ht="60">
      <c r="A38" s="2" t="s">
        <v>48</v>
      </c>
      <c r="C38" s="18" t="s">
        <v>35</v>
      </c>
      <c r="D38" s="18" t="s">
        <v>43</v>
      </c>
      <c r="E38" s="19" t="s">
        <v>44</v>
      </c>
    </row>
    <row r="39" spans="1:6">
      <c r="A39" s="2" t="s">
        <v>55</v>
      </c>
      <c r="E39" s="11"/>
    </row>
    <row r="40" spans="1:6">
      <c r="A40" t="s">
        <v>56</v>
      </c>
      <c r="E40" s="11"/>
    </row>
    <row r="41" spans="1:6">
      <c r="A41" t="s">
        <v>57</v>
      </c>
      <c r="E41" s="11"/>
    </row>
    <row r="42" spans="1:6">
      <c r="A42" s="2" t="s">
        <v>58</v>
      </c>
      <c r="E42" s="11"/>
    </row>
    <row r="43" spans="1:6">
      <c r="A43" t="s">
        <v>59</v>
      </c>
      <c r="C43" s="20">
        <f>'Bank Expenditure'!K271</f>
        <v>2160</v>
      </c>
      <c r="D43" s="20">
        <f>C43</f>
        <v>2160</v>
      </c>
      <c r="E43" s="21">
        <v>4800</v>
      </c>
    </row>
    <row r="44" spans="1:6">
      <c r="C44" s="4"/>
      <c r="D44" s="4"/>
      <c r="E44" s="11"/>
    </row>
    <row r="45" spans="1:6">
      <c r="A45" s="11" t="s">
        <v>370</v>
      </c>
      <c r="C45" s="4"/>
      <c r="D45" s="4"/>
      <c r="E45" s="11"/>
    </row>
    <row r="46" spans="1:6">
      <c r="C46" s="4"/>
      <c r="D46" s="4"/>
      <c r="E46" s="11"/>
    </row>
    <row r="47" spans="1:6">
      <c r="C47" s="4"/>
      <c r="D47" s="4"/>
      <c r="E47" s="11"/>
    </row>
    <row r="48" spans="1:6" s="2" customFormat="1">
      <c r="A48" s="2">
        <v>7</v>
      </c>
      <c r="B48" s="2" t="s">
        <v>347</v>
      </c>
      <c r="C48" s="12"/>
      <c r="D48" s="12"/>
      <c r="E48" s="13"/>
    </row>
    <row r="49" spans="1:5">
      <c r="B49" t="s">
        <v>348</v>
      </c>
      <c r="C49" s="4"/>
      <c r="D49" s="4"/>
      <c r="E49" s="11"/>
    </row>
    <row r="50" spans="1:5">
      <c r="C50" s="4"/>
      <c r="D50" s="4"/>
      <c r="E50" s="11"/>
    </row>
    <row r="51" spans="1:5" ht="30">
      <c r="B51" s="18" t="s">
        <v>20</v>
      </c>
      <c r="C51" s="19" t="s">
        <v>21</v>
      </c>
      <c r="D51" s="4"/>
      <c r="E51" s="11"/>
    </row>
    <row r="52" spans="1:5">
      <c r="A52" t="s">
        <v>55</v>
      </c>
      <c r="B52" s="9">
        <v>0</v>
      </c>
      <c r="C52" s="28">
        <v>0</v>
      </c>
    </row>
    <row r="53" spans="1:5">
      <c r="C53" s="11"/>
    </row>
    <row r="54" spans="1:5">
      <c r="C54" s="11"/>
    </row>
    <row r="55" spans="1:5" s="2" customFormat="1">
      <c r="A55" s="2">
        <v>8</v>
      </c>
      <c r="B55" s="2" t="s">
        <v>350</v>
      </c>
      <c r="C55" s="13"/>
    </row>
    <row r="56" spans="1:5">
      <c r="A56" t="s">
        <v>349</v>
      </c>
      <c r="C56" s="11"/>
    </row>
    <row r="57" spans="1:5">
      <c r="A57" t="s">
        <v>351</v>
      </c>
      <c r="C57" s="11"/>
    </row>
    <row r="58" spans="1:5">
      <c r="C58" s="11"/>
    </row>
    <row r="59" spans="1:5" s="2" customFormat="1">
      <c r="A59" s="2">
        <v>9</v>
      </c>
      <c r="B59" s="2" t="s">
        <v>46</v>
      </c>
      <c r="C59" s="13"/>
    </row>
    <row r="60" spans="1:5">
      <c r="C60" s="11"/>
    </row>
    <row r="61" spans="1:5">
      <c r="A61" t="s">
        <v>354</v>
      </c>
      <c r="C61" s="11"/>
    </row>
    <row r="62" spans="1:5" ht="30">
      <c r="C62" s="18" t="s">
        <v>20</v>
      </c>
    </row>
    <row r="63" spans="1:5">
      <c r="A63" s="2" t="s">
        <v>355</v>
      </c>
      <c r="C63" s="11"/>
    </row>
    <row r="64" spans="1:5">
      <c r="A64" t="s">
        <v>356</v>
      </c>
      <c r="C64" s="20">
        <f>'Bank Expenditure'!E271-C65</f>
        <v>48624.039999999986</v>
      </c>
    </row>
    <row r="65" spans="1:4">
      <c r="A65" t="s">
        <v>118</v>
      </c>
      <c r="C65" s="20">
        <f>wages!D76</f>
        <v>1216.3800000000001</v>
      </c>
    </row>
    <row r="66" spans="1:4">
      <c r="C66" s="26">
        <f>SUM(C64:C65)</f>
        <v>49840.419999999984</v>
      </c>
    </row>
    <row r="67" spans="1:4">
      <c r="C67" s="11"/>
    </row>
    <row r="68" spans="1:4">
      <c r="A68" t="s">
        <v>357</v>
      </c>
      <c r="C68" s="11"/>
    </row>
    <row r="69" spans="1:4">
      <c r="A69" t="s">
        <v>358</v>
      </c>
      <c r="C69" s="11"/>
    </row>
    <row r="70" spans="1:4">
      <c r="C70" s="11"/>
    </row>
    <row r="71" spans="1:4" ht="30">
      <c r="C71" s="18" t="s">
        <v>360</v>
      </c>
      <c r="D71" s="19" t="s">
        <v>359</v>
      </c>
    </row>
    <row r="72" spans="1:4">
      <c r="C72" s="9">
        <v>2</v>
      </c>
      <c r="D72" s="28">
        <v>2</v>
      </c>
    </row>
    <row r="73" spans="1:4">
      <c r="A73" s="2" t="s">
        <v>361</v>
      </c>
      <c r="C73" s="11"/>
    </row>
    <row r="74" spans="1:4">
      <c r="A74" t="s">
        <v>362</v>
      </c>
      <c r="C74" s="11"/>
    </row>
    <row r="75" spans="1:4">
      <c r="A75" t="s">
        <v>367</v>
      </c>
      <c r="C75" s="11"/>
    </row>
    <row r="76" spans="1:4">
      <c r="A76" t="s">
        <v>242</v>
      </c>
      <c r="C76" s="11"/>
    </row>
    <row r="77" spans="1:4">
      <c r="C77" s="11"/>
    </row>
    <row r="78" spans="1:4" s="2" customFormat="1">
      <c r="A78" s="2">
        <v>10</v>
      </c>
      <c r="B78" s="2" t="s">
        <v>363</v>
      </c>
      <c r="C78" s="13"/>
    </row>
    <row r="79" spans="1:4">
      <c r="C79" s="11"/>
    </row>
    <row r="80" spans="1:4" ht="30">
      <c r="C80" s="11"/>
      <c r="D80" s="18" t="s">
        <v>21</v>
      </c>
    </row>
    <row r="81" spans="1:4">
      <c r="A81" t="s">
        <v>59</v>
      </c>
      <c r="C81" s="11"/>
      <c r="D81" s="9">
        <v>0</v>
      </c>
    </row>
    <row r="82" spans="1:4">
      <c r="C82" s="11"/>
    </row>
    <row r="83" spans="1:4">
      <c r="C83" s="11"/>
    </row>
    <row r="84" spans="1:4" s="2" customFormat="1">
      <c r="A84" s="2">
        <v>11</v>
      </c>
      <c r="B84" s="2" t="s">
        <v>364</v>
      </c>
      <c r="C84" s="13"/>
    </row>
    <row r="85" spans="1:4">
      <c r="C85" s="11"/>
    </row>
    <row r="86" spans="1:4">
      <c r="A86" t="s">
        <v>365</v>
      </c>
      <c r="C86" s="11"/>
    </row>
    <row r="87" spans="1:4">
      <c r="C87" s="11"/>
    </row>
    <row r="88" spans="1:4">
      <c r="C88" s="11"/>
    </row>
    <row r="91" spans="1:4" s="2" customFormat="1">
      <c r="A91" s="2">
        <v>12</v>
      </c>
      <c r="B91" s="2" t="s">
        <v>60</v>
      </c>
    </row>
    <row r="93" spans="1:4" ht="45">
      <c r="A93" s="2" t="s">
        <v>52</v>
      </c>
      <c r="B93" s="18" t="s">
        <v>61</v>
      </c>
      <c r="C93" s="18" t="s">
        <v>62</v>
      </c>
      <c r="D93" s="18" t="s">
        <v>63</v>
      </c>
    </row>
    <row r="94" spans="1:4">
      <c r="A94" t="s">
        <v>67</v>
      </c>
      <c r="B94" s="15">
        <v>400000</v>
      </c>
      <c r="C94" s="15">
        <v>6587</v>
      </c>
      <c r="D94" s="15">
        <f>SUM(B94:C94)</f>
        <v>406587</v>
      </c>
    </row>
    <row r="95" spans="1:4">
      <c r="A95" t="s">
        <v>184</v>
      </c>
      <c r="B95" s="15"/>
      <c r="C95" s="15"/>
      <c r="D95" s="15">
        <f>SUM(B95:C95)</f>
        <v>0</v>
      </c>
    </row>
    <row r="96" spans="1:4">
      <c r="A96" t="s">
        <v>64</v>
      </c>
      <c r="B96" s="15"/>
      <c r="C96" s="15"/>
      <c r="D96" s="15">
        <f>SUM(B96:C96)</f>
        <v>0</v>
      </c>
    </row>
    <row r="97" spans="1:4">
      <c r="A97" t="s">
        <v>65</v>
      </c>
      <c r="B97" s="15">
        <f>B94+B96-B95</f>
        <v>400000</v>
      </c>
      <c r="C97" s="15">
        <f>C94+C96-C95</f>
        <v>6587</v>
      </c>
      <c r="D97" s="15">
        <f>SUM(B97:C97)</f>
        <v>406587</v>
      </c>
    </row>
    <row r="98" spans="1:4">
      <c r="B98" s="15"/>
      <c r="C98" s="15"/>
      <c r="D98" s="15"/>
    </row>
    <row r="99" spans="1:4">
      <c r="A99" s="2" t="s">
        <v>66</v>
      </c>
      <c r="B99" s="15"/>
      <c r="C99" s="15"/>
      <c r="D99" s="15"/>
    </row>
    <row r="100" spans="1:4">
      <c r="A100" t="s">
        <v>67</v>
      </c>
      <c r="B100" s="15"/>
      <c r="C100" s="15">
        <v>2324</v>
      </c>
      <c r="D100" s="15">
        <v>2324</v>
      </c>
    </row>
    <row r="101" spans="1:4">
      <c r="A101" t="s">
        <v>68</v>
      </c>
      <c r="B101" s="15"/>
      <c r="C101" s="15">
        <f>C105*25%</f>
        <v>1065.75</v>
      </c>
      <c r="D101" s="15">
        <f>C101</f>
        <v>1065.75</v>
      </c>
    </row>
    <row r="102" spans="1:4">
      <c r="A102" t="s">
        <v>65</v>
      </c>
      <c r="B102" s="15"/>
      <c r="C102" s="15">
        <f>C100+C101</f>
        <v>3389.75</v>
      </c>
      <c r="D102" s="15">
        <f>D100+D101</f>
        <v>3389.75</v>
      </c>
    </row>
    <row r="103" spans="1:4">
      <c r="B103" s="15"/>
      <c r="C103" s="15"/>
      <c r="D103" s="15"/>
    </row>
    <row r="104" spans="1:4">
      <c r="A104" s="2" t="s">
        <v>69</v>
      </c>
      <c r="B104" s="15"/>
      <c r="C104" s="15"/>
      <c r="D104" s="15"/>
    </row>
    <row r="105" spans="1:4">
      <c r="A105" t="s">
        <v>70</v>
      </c>
      <c r="B105" s="15">
        <v>400000</v>
      </c>
      <c r="C105" s="15">
        <f>C97-C100</f>
        <v>4263</v>
      </c>
      <c r="D105" s="15">
        <f>B105+C105</f>
        <v>404263</v>
      </c>
    </row>
    <row r="106" spans="1:4">
      <c r="A106" t="s">
        <v>65</v>
      </c>
      <c r="B106" s="15">
        <f>B97-B102</f>
        <v>400000</v>
      </c>
      <c r="C106" s="15">
        <f>C97-C102</f>
        <v>3197.25</v>
      </c>
      <c r="D106" s="15">
        <f>B106+C106</f>
        <v>403197.25</v>
      </c>
    </row>
    <row r="109" spans="1:4" s="2" customFormat="1">
      <c r="A109" s="2">
        <v>13</v>
      </c>
      <c r="B109" s="2" t="s">
        <v>71</v>
      </c>
    </row>
    <row r="111" spans="1:4">
      <c r="B111" s="8">
        <v>2025</v>
      </c>
      <c r="C111" s="29">
        <v>2024</v>
      </c>
    </row>
    <row r="112" spans="1:4">
      <c r="C112" s="11"/>
    </row>
    <row r="113" spans="1:10">
      <c r="A113" t="s">
        <v>72</v>
      </c>
      <c r="B113" s="15">
        <f>'Bank Rec'!B10</f>
        <v>23962.77999999997</v>
      </c>
      <c r="C113" s="16">
        <v>48712</v>
      </c>
      <c r="F113" s="15">
        <f>D106+B113</f>
        <v>427160.02999999997</v>
      </c>
    </row>
    <row r="116" spans="1:10" s="2" customFormat="1">
      <c r="A116" s="2">
        <v>14</v>
      </c>
      <c r="B116" s="2" t="s">
        <v>366</v>
      </c>
    </row>
    <row r="118" spans="1:10" ht="30">
      <c r="B118" s="18" t="s">
        <v>20</v>
      </c>
      <c r="C118" s="18" t="s">
        <v>21</v>
      </c>
    </row>
    <row r="119" spans="1:10">
      <c r="A119" t="s">
        <v>368</v>
      </c>
      <c r="B119" s="9">
        <v>0</v>
      </c>
      <c r="C119" s="9">
        <v>0</v>
      </c>
    </row>
    <row r="123" spans="1:10" s="2" customFormat="1">
      <c r="A123" s="2">
        <v>15</v>
      </c>
      <c r="B123" s="2" t="s">
        <v>73</v>
      </c>
    </row>
    <row r="124" spans="1:10" ht="45">
      <c r="C124" s="18" t="s">
        <v>74</v>
      </c>
      <c r="D124" s="18" t="s">
        <v>75</v>
      </c>
      <c r="E124" s="18" t="s">
        <v>76</v>
      </c>
      <c r="F124" s="18" t="s">
        <v>77</v>
      </c>
      <c r="G124" s="18" t="s">
        <v>78</v>
      </c>
    </row>
    <row r="125" spans="1:10">
      <c r="A125" s="2" t="s">
        <v>32</v>
      </c>
      <c r="E125" t="s">
        <v>242</v>
      </c>
    </row>
    <row r="126" spans="1:10">
      <c r="A126" t="s">
        <v>79</v>
      </c>
      <c r="B126">
        <v>5</v>
      </c>
      <c r="C126" s="20">
        <f>G145</f>
        <v>8679</v>
      </c>
      <c r="D126" s="20">
        <f>'Bank Income'!E210+'Bank Income'!G210+'Bank Income'!I210+'Bank Income'!L210+'Bank Income'!M210+'Bank Income'!N210+'Bank Income'!K210+'Cash Spend'!C78+Vouchers!B26</f>
        <v>45432.85</v>
      </c>
      <c r="E126" s="20">
        <f>'Bank Expenditure'!E271+'Bank Expenditure'!G271+'Bank Expenditure'!I271+'Bank Expenditure'!J271+C101+'Bank Expenditure'!H271+'Bank Expenditure'!K14-53+'Cash Spend'!F78+'Cash Spend'!G78+'Cash Spend'!I78+'Cash Spend'!J78+'Cash Spend'!L78+Vouchers!B29+'Bank Expenditure'!K271</f>
        <v>72125.409999999989</v>
      </c>
      <c r="F126" s="20"/>
      <c r="G126" s="20">
        <f>C126+D126-E126</f>
        <v>-18013.55999999999</v>
      </c>
    </row>
    <row r="127" spans="1:10">
      <c r="C127" s="20"/>
      <c r="D127" s="20"/>
      <c r="E127" s="20"/>
      <c r="F127" s="20"/>
      <c r="G127" s="20"/>
      <c r="J127" s="4"/>
    </row>
    <row r="128" spans="1:10">
      <c r="A128" s="2" t="s">
        <v>30</v>
      </c>
      <c r="C128" s="20"/>
      <c r="D128" s="20"/>
      <c r="E128" s="20"/>
      <c r="F128" s="20"/>
      <c r="G128" s="20"/>
    </row>
    <row r="129" spans="1:10">
      <c r="A129" t="s">
        <v>80</v>
      </c>
      <c r="C129" s="20">
        <f>G148</f>
        <v>400000</v>
      </c>
      <c r="D129" s="20"/>
      <c r="E129" s="20"/>
      <c r="F129" s="20"/>
      <c r="G129" s="20">
        <f t="shared" ref="G129:G135" si="0">C129+D129-E129</f>
        <v>400000</v>
      </c>
    </row>
    <row r="130" spans="1:10">
      <c r="A130" t="s">
        <v>81</v>
      </c>
      <c r="C130" s="20">
        <f>G149</f>
        <v>1311</v>
      </c>
      <c r="D130" s="20"/>
      <c r="E130" s="20">
        <f>'Bank Expenditure'!R271+53</f>
        <v>825.5</v>
      </c>
      <c r="F130" s="20"/>
      <c r="G130" s="20">
        <f t="shared" si="0"/>
        <v>485.5</v>
      </c>
    </row>
    <row r="131" spans="1:10">
      <c r="A131" t="s">
        <v>82</v>
      </c>
      <c r="C131" s="20">
        <f>G150</f>
        <v>1308</v>
      </c>
      <c r="D131" s="20">
        <v>2914</v>
      </c>
      <c r="E131" s="20">
        <f>'Bank Expenditure'!M271+'Cash Spend'!D78+Vouchers!B28</f>
        <v>1297.1500000000001</v>
      </c>
      <c r="F131" s="20"/>
      <c r="G131" s="20">
        <f t="shared" si="0"/>
        <v>2924.85</v>
      </c>
    </row>
    <row r="132" spans="1:10">
      <c r="A132" t="s">
        <v>83</v>
      </c>
      <c r="C132" s="20">
        <f>G151</f>
        <v>2225</v>
      </c>
      <c r="D132" s="20"/>
      <c r="E132" s="20">
        <f>'Bank Expenditure'!N271+'Cash Spend'!E78</f>
        <v>2036.5399999999997</v>
      </c>
      <c r="F132" s="20"/>
      <c r="G132" s="20">
        <f t="shared" si="0"/>
        <v>188.46000000000026</v>
      </c>
      <c r="J132" s="4"/>
    </row>
    <row r="133" spans="1:10">
      <c r="A133" t="s">
        <v>276</v>
      </c>
      <c r="C133" s="20"/>
      <c r="D133" s="20">
        <f>'Bank Income'!H144</f>
        <v>3000</v>
      </c>
      <c r="E133" s="20">
        <f>'Bank Expenditure'!O271</f>
        <v>0</v>
      </c>
      <c r="F133" s="20"/>
      <c r="G133" s="20">
        <f t="shared" si="0"/>
        <v>3000</v>
      </c>
      <c r="I133" s="4"/>
    </row>
    <row r="134" spans="1:10">
      <c r="A134" t="s">
        <v>84</v>
      </c>
      <c r="C134" s="34">
        <f>G152</f>
        <v>36452</v>
      </c>
      <c r="D134" s="20">
        <f>'Bank Income'!J38</f>
        <v>25000</v>
      </c>
      <c r="E134" s="34">
        <f>'Bank Expenditure'!P271+'Cash Spend'!H78</f>
        <v>24660.670000000002</v>
      </c>
      <c r="F134" s="20"/>
      <c r="G134" s="34">
        <f t="shared" si="0"/>
        <v>36791.33</v>
      </c>
    </row>
    <row r="135" spans="1:10">
      <c r="A135" t="s">
        <v>85</v>
      </c>
      <c r="C135" s="20">
        <f>G153</f>
        <v>3000</v>
      </c>
      <c r="D135" s="20"/>
      <c r="E135" s="20">
        <f>'Cash Spend'!K78</f>
        <v>1216.77</v>
      </c>
      <c r="F135" s="20"/>
      <c r="G135" s="20">
        <f t="shared" si="0"/>
        <v>1783.23</v>
      </c>
    </row>
    <row r="136" spans="1:10">
      <c r="C136" s="20"/>
      <c r="D136" s="20"/>
      <c r="E136" s="20"/>
      <c r="F136" s="20"/>
      <c r="G136" s="20"/>
    </row>
    <row r="137" spans="1:10">
      <c r="A137" t="s">
        <v>86</v>
      </c>
      <c r="C137" s="30">
        <f>SUM(C129:C136)</f>
        <v>444296</v>
      </c>
      <c r="D137" s="30">
        <f>SUM(D129:D136)</f>
        <v>30914</v>
      </c>
      <c r="E137" s="30">
        <f>SUM(E129:E136)</f>
        <v>30036.63</v>
      </c>
      <c r="F137" s="30">
        <f>SUM(F129:F136)</f>
        <v>0</v>
      </c>
      <c r="G137" s="30">
        <f>SUM(G129:G136)</f>
        <v>445173.37</v>
      </c>
    </row>
    <row r="138" spans="1:10">
      <c r="C138" s="20"/>
      <c r="D138" s="20"/>
      <c r="E138" s="20"/>
      <c r="F138" s="20"/>
      <c r="G138" s="20"/>
    </row>
    <row r="139" spans="1:10" ht="15" thickBot="1">
      <c r="A139" t="s">
        <v>33</v>
      </c>
      <c r="C139" s="24">
        <f>C126+C137</f>
        <v>452975</v>
      </c>
      <c r="D139" s="24">
        <f>D126+D137</f>
        <v>76346.850000000006</v>
      </c>
      <c r="E139" s="24">
        <f>E126+E137</f>
        <v>102162.04</v>
      </c>
      <c r="F139" s="24">
        <f>F126+F137</f>
        <v>0</v>
      </c>
      <c r="G139" s="24">
        <f>G126+G137</f>
        <v>427159.81</v>
      </c>
    </row>
    <row r="140" spans="1:10">
      <c r="D140" s="4"/>
      <c r="E140" s="4"/>
      <c r="G140" s="4"/>
    </row>
    <row r="141" spans="1:10">
      <c r="H141" s="4"/>
    </row>
    <row r="142" spans="1:10" ht="60">
      <c r="A142" s="11"/>
      <c r="B142" s="11"/>
      <c r="C142" s="19" t="s">
        <v>87</v>
      </c>
      <c r="D142" s="19" t="s">
        <v>75</v>
      </c>
      <c r="E142" s="19" t="s">
        <v>76</v>
      </c>
      <c r="F142" s="19" t="s">
        <v>77</v>
      </c>
      <c r="G142" s="19" t="s">
        <v>74</v>
      </c>
      <c r="H142" s="4"/>
    </row>
    <row r="143" spans="1:10">
      <c r="A143" s="11"/>
      <c r="B143" s="11"/>
      <c r="C143" s="11"/>
      <c r="D143" s="11"/>
      <c r="E143" s="11"/>
      <c r="F143" s="11"/>
      <c r="G143" s="11"/>
    </row>
    <row r="144" spans="1:10">
      <c r="A144" s="11" t="s">
        <v>32</v>
      </c>
      <c r="B144" s="11"/>
      <c r="C144" s="11"/>
      <c r="D144" s="11"/>
      <c r="E144" s="11"/>
      <c r="F144" s="11"/>
      <c r="G144" s="11"/>
    </row>
    <row r="145" spans="1:7">
      <c r="A145" s="11" t="s">
        <v>79</v>
      </c>
      <c r="B145" s="11"/>
      <c r="C145" s="21">
        <v>10803</v>
      </c>
      <c r="D145" s="21">
        <v>33602</v>
      </c>
      <c r="E145" s="21">
        <v>-34415</v>
      </c>
      <c r="F145" s="21">
        <v>-1311</v>
      </c>
      <c r="G145" s="21">
        <f>SUM(C145:F145)</f>
        <v>8679</v>
      </c>
    </row>
    <row r="146" spans="1:7">
      <c r="A146" s="11"/>
      <c r="B146" s="11"/>
      <c r="C146" s="21"/>
      <c r="D146" s="21"/>
      <c r="E146" s="21"/>
      <c r="F146" s="21"/>
      <c r="G146" s="21"/>
    </row>
    <row r="147" spans="1:7">
      <c r="A147" s="11" t="s">
        <v>30</v>
      </c>
      <c r="B147" s="11"/>
      <c r="C147" s="21"/>
      <c r="D147" s="21"/>
      <c r="E147" s="21"/>
      <c r="F147" s="21"/>
      <c r="G147" s="21"/>
    </row>
    <row r="148" spans="1:7">
      <c r="A148" s="11" t="s">
        <v>80</v>
      </c>
      <c r="B148" s="11"/>
      <c r="C148" s="21">
        <v>400000</v>
      </c>
      <c r="D148" s="21"/>
      <c r="E148" s="21"/>
      <c r="F148" s="21"/>
      <c r="G148" s="21">
        <f t="shared" ref="G148:G154" si="1">SUM(C148:F148)</f>
        <v>400000</v>
      </c>
    </row>
    <row r="149" spans="1:7">
      <c r="A149" s="11" t="s">
        <v>81</v>
      </c>
      <c r="B149" s="11"/>
      <c r="C149" s="21"/>
      <c r="D149" s="21"/>
      <c r="E149" s="21"/>
      <c r="F149" s="21">
        <v>1311</v>
      </c>
      <c r="G149" s="21">
        <f t="shared" si="1"/>
        <v>1311</v>
      </c>
    </row>
    <row r="150" spans="1:7">
      <c r="A150" s="11" t="s">
        <v>82</v>
      </c>
      <c r="B150" s="11"/>
      <c r="C150" s="21"/>
      <c r="D150" s="21">
        <v>2537</v>
      </c>
      <c r="E150" s="21">
        <v>-1229</v>
      </c>
      <c r="F150" s="21"/>
      <c r="G150" s="21">
        <f t="shared" si="1"/>
        <v>1308</v>
      </c>
    </row>
    <row r="151" spans="1:7">
      <c r="A151" s="11" t="s">
        <v>83</v>
      </c>
      <c r="B151" s="11"/>
      <c r="C151" s="21"/>
      <c r="D151" s="21">
        <v>3440</v>
      </c>
      <c r="E151" s="21">
        <v>-1215</v>
      </c>
      <c r="F151" s="21"/>
      <c r="G151" s="21">
        <f t="shared" si="1"/>
        <v>2225</v>
      </c>
    </row>
    <row r="152" spans="1:7">
      <c r="A152" s="11" t="s">
        <v>84</v>
      </c>
      <c r="B152" s="11"/>
      <c r="C152" s="21"/>
      <c r="D152" s="35">
        <v>37200</v>
      </c>
      <c r="E152" s="35">
        <v>-748</v>
      </c>
      <c r="F152" s="21"/>
      <c r="G152" s="35">
        <f t="shared" si="1"/>
        <v>36452</v>
      </c>
    </row>
    <row r="153" spans="1:7">
      <c r="A153" s="11" t="s">
        <v>85</v>
      </c>
      <c r="B153" s="11"/>
      <c r="C153" s="21"/>
      <c r="D153" s="21">
        <v>3000</v>
      </c>
      <c r="E153" s="21"/>
      <c r="F153" s="21"/>
      <c r="G153" s="21">
        <f t="shared" si="1"/>
        <v>3000</v>
      </c>
    </row>
    <row r="154" spans="1:7">
      <c r="A154" s="11" t="s">
        <v>88</v>
      </c>
      <c r="B154" s="11"/>
      <c r="C154" s="21"/>
      <c r="D154" s="21">
        <v>18500</v>
      </c>
      <c r="E154" s="21">
        <v>-18500</v>
      </c>
      <c r="F154" s="21"/>
      <c r="G154" s="21">
        <f t="shared" si="1"/>
        <v>0</v>
      </c>
    </row>
    <row r="155" spans="1:7">
      <c r="A155" s="11" t="s">
        <v>86</v>
      </c>
      <c r="B155" s="11"/>
      <c r="C155" s="31">
        <f>SUM(C148:C154)</f>
        <v>400000</v>
      </c>
      <c r="D155" s="31">
        <f>SUM(D148:D154)</f>
        <v>64677</v>
      </c>
      <c r="E155" s="31">
        <f>SUM(E148:E154)</f>
        <v>-21692</v>
      </c>
      <c r="F155" s="31">
        <f>SUM(F148:F154)</f>
        <v>1311</v>
      </c>
      <c r="G155" s="31">
        <f>SUM(G148:G154)</f>
        <v>444296</v>
      </c>
    </row>
    <row r="156" spans="1:7">
      <c r="A156" s="11"/>
      <c r="B156" s="11"/>
      <c r="C156" s="21"/>
      <c r="D156" s="21"/>
      <c r="E156" s="21"/>
      <c r="F156" s="21"/>
      <c r="G156" s="21"/>
    </row>
    <row r="157" spans="1:7" ht="15" thickBot="1">
      <c r="A157" s="11" t="s">
        <v>33</v>
      </c>
      <c r="B157" s="11"/>
      <c r="C157" s="25">
        <f>C145+C155</f>
        <v>410803</v>
      </c>
      <c r="D157" s="25">
        <f>D145+D155</f>
        <v>98279</v>
      </c>
      <c r="E157" s="25">
        <f>E145+E155</f>
        <v>-56107</v>
      </c>
      <c r="F157" s="25">
        <f>F145+F155</f>
        <v>0</v>
      </c>
      <c r="G157" s="25">
        <f>G145+G155</f>
        <v>452975</v>
      </c>
    </row>
    <row r="159" spans="1:7">
      <c r="A159" t="s">
        <v>89</v>
      </c>
    </row>
    <row r="162" spans="1:7" s="2" customFormat="1">
      <c r="A162" s="2">
        <v>16</v>
      </c>
      <c r="B162" s="2" t="s">
        <v>90</v>
      </c>
    </row>
    <row r="164" spans="1:7" ht="60">
      <c r="C164" s="18" t="s">
        <v>35</v>
      </c>
      <c r="D164" s="18" t="s">
        <v>3</v>
      </c>
      <c r="E164" s="18" t="s">
        <v>92</v>
      </c>
    </row>
    <row r="166" spans="1:7">
      <c r="A166" t="s">
        <v>60</v>
      </c>
      <c r="C166" s="20">
        <f>C106</f>
        <v>3197.25</v>
      </c>
      <c r="D166" s="20">
        <f>B106</f>
        <v>400000</v>
      </c>
      <c r="E166" s="20">
        <f>SUM(C166:D166)</f>
        <v>403197.25</v>
      </c>
    </row>
    <row r="167" spans="1:7">
      <c r="A167" t="s">
        <v>24</v>
      </c>
      <c r="C167" s="20">
        <f>C174+D126-E126+C101</f>
        <v>-21210.589999999989</v>
      </c>
      <c r="D167" s="20">
        <f>D174+D137-E137</f>
        <v>45173.369999999995</v>
      </c>
      <c r="E167" s="20">
        <f>SUM(C167:D167)</f>
        <v>23962.780000000006</v>
      </c>
    </row>
    <row r="168" spans="1:7">
      <c r="C168" s="26">
        <f>SUM(C166:C167)</f>
        <v>-18013.339999999989</v>
      </c>
      <c r="D168" s="26">
        <f>SUM(D166:D167)</f>
        <v>445173.37</v>
      </c>
      <c r="E168" s="26">
        <f>SUM(C168:D168)</f>
        <v>427160.03</v>
      </c>
      <c r="G168" s="15"/>
    </row>
    <row r="171" spans="1:7" ht="60">
      <c r="A171" s="11"/>
      <c r="B171" s="11"/>
      <c r="C171" s="19" t="s">
        <v>35</v>
      </c>
      <c r="D171" s="19" t="s">
        <v>3</v>
      </c>
      <c r="E171" s="19" t="s">
        <v>93</v>
      </c>
    </row>
    <row r="172" spans="1:7">
      <c r="A172" s="11"/>
      <c r="B172" s="11"/>
      <c r="C172" s="28"/>
      <c r="D172" s="28"/>
      <c r="E172" s="28"/>
    </row>
    <row r="173" spans="1:7">
      <c r="A173" s="11" t="s">
        <v>60</v>
      </c>
      <c r="B173" s="11"/>
      <c r="C173" s="21">
        <f>C105</f>
        <v>4263</v>
      </c>
      <c r="D173" s="21">
        <f>B105</f>
        <v>400000</v>
      </c>
      <c r="E173" s="21">
        <f>SUM(C173:D173)</f>
        <v>404263</v>
      </c>
    </row>
    <row r="174" spans="1:7">
      <c r="A174" s="11" t="s">
        <v>24</v>
      </c>
      <c r="B174" s="11"/>
      <c r="C174" s="21">
        <f>4416.22</f>
        <v>4416.22</v>
      </c>
      <c r="D174" s="21">
        <v>44296</v>
      </c>
      <c r="E174" s="21">
        <f>SUM(C174:D174)</f>
        <v>48712.22</v>
      </c>
    </row>
    <row r="175" spans="1:7">
      <c r="A175" s="11" t="s">
        <v>91</v>
      </c>
      <c r="B175" s="11"/>
      <c r="C175" s="21"/>
      <c r="D175" s="21"/>
      <c r="E175" s="21">
        <f>SUM(C175:D175)</f>
        <v>0</v>
      </c>
    </row>
    <row r="176" spans="1:7">
      <c r="A176" s="11"/>
      <c r="B176" s="11"/>
      <c r="C176" s="27">
        <f>SUM(C173:C175)</f>
        <v>8679.2200000000012</v>
      </c>
      <c r="D176" s="27">
        <f>SUM(D173:D175)</f>
        <v>444296</v>
      </c>
      <c r="E176" s="27">
        <f>SUM(C176:D176)</f>
        <v>452975.22</v>
      </c>
    </row>
  </sheetData>
  <pageMargins left="0.7" right="0.7" top="0.75" bottom="0.75" header="0.3" footer="0.3"/>
  <pageSetup paperSize="9" scale="83" fitToHeight="0" orientation="portrait" r:id="rId1"/>
  <rowBreaks count="4" manualBreakCount="4">
    <brk id="31" max="16383" man="1"/>
    <brk id="76" max="16383" man="1"/>
    <brk id="120" max="16383" man="1"/>
    <brk id="1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0CE3-A8A6-4592-82B7-B70F9B23AEF0}">
  <sheetPr>
    <pageSetUpPr fitToPage="1"/>
  </sheetPr>
  <dimension ref="A1:O213"/>
  <sheetViews>
    <sheetView zoomScale="90" zoomScaleNormal="90" workbookViewId="0">
      <pane ySplit="3" topLeftCell="A30" activePane="bottomLeft" state="frozen"/>
      <selection pane="bottomLeft" activeCell="O39" sqref="O39"/>
    </sheetView>
  </sheetViews>
  <sheetFormatPr baseColWidth="10" defaultColWidth="8.83203125" defaultRowHeight="14"/>
  <cols>
    <col min="2" max="2" width="17.33203125" bestFit="1" customWidth="1"/>
    <col min="3" max="3" width="4.1640625" bestFit="1" customWidth="1"/>
    <col min="5" max="6" width="0" hidden="1" customWidth="1"/>
    <col min="9" max="9" width="0" hidden="1" customWidth="1"/>
    <col min="15" max="15" width="52.83203125" bestFit="1" customWidth="1"/>
  </cols>
  <sheetData>
    <row r="1" spans="1:15">
      <c r="A1" t="s">
        <v>125</v>
      </c>
    </row>
    <row r="3" spans="1:15" ht="45">
      <c r="A3" t="s">
        <v>126</v>
      </c>
      <c r="B3" t="s">
        <v>127</v>
      </c>
      <c r="C3" t="s">
        <v>128</v>
      </c>
      <c r="D3" t="s">
        <v>136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217</v>
      </c>
      <c r="L3" s="1" t="s">
        <v>135</v>
      </c>
      <c r="M3" s="1" t="s">
        <v>42</v>
      </c>
      <c r="N3" s="1" t="s">
        <v>8</v>
      </c>
      <c r="O3" s="1" t="s">
        <v>137</v>
      </c>
    </row>
    <row r="4" spans="1:15">
      <c r="A4" s="3">
        <v>46103</v>
      </c>
      <c r="B4" t="s">
        <v>148</v>
      </c>
      <c r="C4" t="s">
        <v>145</v>
      </c>
      <c r="D4">
        <f>SUM(E4:N4)</f>
        <v>182</v>
      </c>
      <c r="M4">
        <v>182</v>
      </c>
    </row>
    <row r="5" spans="1:15">
      <c r="A5" s="3">
        <v>46103</v>
      </c>
      <c r="B5" t="s">
        <v>149</v>
      </c>
      <c r="D5">
        <f t="shared" ref="D5:D67" si="0">SUM(E5:N5)</f>
        <v>200</v>
      </c>
      <c r="L5">
        <v>200</v>
      </c>
    </row>
    <row r="6" spans="1:15">
      <c r="A6" s="3">
        <v>46103</v>
      </c>
      <c r="B6" t="s">
        <v>150</v>
      </c>
      <c r="C6" t="s">
        <v>145</v>
      </c>
      <c r="D6">
        <f t="shared" si="0"/>
        <v>40</v>
      </c>
      <c r="L6">
        <v>40</v>
      </c>
    </row>
    <row r="7" spans="1:15">
      <c r="A7" s="3">
        <v>46106</v>
      </c>
      <c r="B7" t="s">
        <v>161</v>
      </c>
      <c r="D7">
        <f t="shared" si="0"/>
        <v>58.91</v>
      </c>
      <c r="N7">
        <v>58.91</v>
      </c>
      <c r="O7" t="s">
        <v>151</v>
      </c>
    </row>
    <row r="8" spans="1:15">
      <c r="A8" s="3">
        <v>46107</v>
      </c>
      <c r="B8" t="s">
        <v>152</v>
      </c>
      <c r="C8" t="s">
        <v>195</v>
      </c>
      <c r="D8">
        <f t="shared" si="0"/>
        <v>48.75</v>
      </c>
      <c r="L8">
        <v>48.75</v>
      </c>
    </row>
    <row r="9" spans="1:15">
      <c r="A9" s="3">
        <v>46108</v>
      </c>
      <c r="B9" t="s">
        <v>153</v>
      </c>
      <c r="C9" t="s">
        <v>145</v>
      </c>
      <c r="D9">
        <f t="shared" si="0"/>
        <v>20</v>
      </c>
      <c r="L9">
        <v>20</v>
      </c>
    </row>
    <row r="10" spans="1:15">
      <c r="A10" s="3">
        <v>46109</v>
      </c>
      <c r="B10" t="s">
        <v>148</v>
      </c>
      <c r="C10" t="s">
        <v>145</v>
      </c>
      <c r="D10">
        <f t="shared" si="0"/>
        <v>30</v>
      </c>
      <c r="L10">
        <v>30</v>
      </c>
    </row>
    <row r="11" spans="1:15">
      <c r="A11" s="3">
        <v>46113</v>
      </c>
      <c r="B11" t="s">
        <v>159</v>
      </c>
      <c r="C11" t="s">
        <v>145</v>
      </c>
      <c r="D11">
        <f t="shared" si="0"/>
        <v>75</v>
      </c>
      <c r="L11">
        <v>75</v>
      </c>
    </row>
    <row r="12" spans="1:15">
      <c r="A12" s="3">
        <v>46114</v>
      </c>
      <c r="B12" t="s">
        <v>148</v>
      </c>
      <c r="C12" t="s">
        <v>145</v>
      </c>
      <c r="D12">
        <f t="shared" si="0"/>
        <v>30</v>
      </c>
      <c r="L12">
        <v>30</v>
      </c>
    </row>
    <row r="13" spans="1:15">
      <c r="A13" s="3">
        <v>46114</v>
      </c>
      <c r="B13" t="s">
        <v>160</v>
      </c>
      <c r="D13">
        <f t="shared" si="0"/>
        <v>433</v>
      </c>
      <c r="L13">
        <v>433</v>
      </c>
    </row>
    <row r="14" spans="1:15">
      <c r="A14" s="3">
        <v>46114</v>
      </c>
      <c r="B14" t="s">
        <v>161</v>
      </c>
      <c r="D14">
        <f>SUM(E14:M14)</f>
        <v>125.46</v>
      </c>
      <c r="M14">
        <v>125.46</v>
      </c>
      <c r="O14" t="s">
        <v>211</v>
      </c>
    </row>
    <row r="15" spans="1:15">
      <c r="A15" s="3">
        <v>46116</v>
      </c>
      <c r="B15" t="s">
        <v>149</v>
      </c>
      <c r="D15">
        <f t="shared" si="0"/>
        <v>200</v>
      </c>
      <c r="M15">
        <v>200</v>
      </c>
      <c r="O15" t="s">
        <v>202</v>
      </c>
    </row>
    <row r="16" spans="1:15">
      <c r="A16" s="3">
        <v>46123</v>
      </c>
      <c r="B16" t="s">
        <v>161</v>
      </c>
      <c r="D16">
        <f t="shared" si="0"/>
        <v>11.3</v>
      </c>
      <c r="N16">
        <v>11.3</v>
      </c>
    </row>
    <row r="17" spans="1:15">
      <c r="A17" s="3">
        <v>46127</v>
      </c>
      <c r="B17" t="s">
        <v>159</v>
      </c>
      <c r="C17" t="s">
        <v>195</v>
      </c>
      <c r="D17">
        <f t="shared" si="0"/>
        <v>15</v>
      </c>
      <c r="L17">
        <v>15</v>
      </c>
    </row>
    <row r="18" spans="1:15">
      <c r="A18" s="3">
        <v>46129</v>
      </c>
      <c r="B18" t="s">
        <v>161</v>
      </c>
      <c r="D18">
        <f t="shared" si="0"/>
        <v>0.49</v>
      </c>
      <c r="N18">
        <v>0.49</v>
      </c>
    </row>
    <row r="19" spans="1:15">
      <c r="A19" s="3">
        <v>46130</v>
      </c>
      <c r="B19" t="s">
        <v>201</v>
      </c>
      <c r="D19">
        <f t="shared" si="0"/>
        <v>200</v>
      </c>
      <c r="M19">
        <v>200</v>
      </c>
      <c r="O19" t="s">
        <v>202</v>
      </c>
    </row>
    <row r="20" spans="1:15">
      <c r="B20" t="s">
        <v>161</v>
      </c>
      <c r="D20">
        <f t="shared" si="0"/>
        <v>9.81</v>
      </c>
      <c r="N20">
        <v>9.81</v>
      </c>
    </row>
    <row r="21" spans="1:15">
      <c r="A21" s="3">
        <v>46131</v>
      </c>
      <c r="B21" t="s">
        <v>161</v>
      </c>
      <c r="D21">
        <f t="shared" si="0"/>
        <v>11.79</v>
      </c>
      <c r="N21">
        <v>11.79</v>
      </c>
    </row>
    <row r="22" spans="1:15">
      <c r="B22" t="s">
        <v>201</v>
      </c>
      <c r="C22" t="s">
        <v>195</v>
      </c>
      <c r="D22">
        <f t="shared" si="0"/>
        <v>220</v>
      </c>
      <c r="L22">
        <v>220</v>
      </c>
    </row>
    <row r="23" spans="1:15">
      <c r="A23" s="3">
        <v>46136</v>
      </c>
      <c r="B23" t="s">
        <v>161</v>
      </c>
      <c r="D23">
        <f t="shared" si="0"/>
        <v>0.98</v>
      </c>
      <c r="N23">
        <v>0.98</v>
      </c>
    </row>
    <row r="24" spans="1:15">
      <c r="B24" t="s">
        <v>150</v>
      </c>
      <c r="D24">
        <f t="shared" si="0"/>
        <v>40</v>
      </c>
      <c r="L24">
        <v>40</v>
      </c>
    </row>
    <row r="25" spans="1:15">
      <c r="A25" s="3">
        <v>46137</v>
      </c>
      <c r="B25" t="s">
        <v>205</v>
      </c>
      <c r="D25">
        <f t="shared" si="0"/>
        <v>115</v>
      </c>
      <c r="L25">
        <v>115</v>
      </c>
    </row>
    <row r="26" spans="1:15">
      <c r="A26" s="3">
        <v>46138</v>
      </c>
      <c r="B26" t="s">
        <v>206</v>
      </c>
      <c r="D26">
        <f t="shared" si="0"/>
        <v>600</v>
      </c>
      <c r="L26">
        <v>600</v>
      </c>
    </row>
    <row r="27" spans="1:15">
      <c r="B27" t="s">
        <v>207</v>
      </c>
      <c r="D27">
        <f t="shared" si="0"/>
        <v>195</v>
      </c>
      <c r="L27">
        <v>195</v>
      </c>
    </row>
    <row r="28" spans="1:15">
      <c r="B28" t="s">
        <v>201</v>
      </c>
      <c r="D28">
        <f t="shared" si="0"/>
        <v>200</v>
      </c>
      <c r="L28">
        <v>200</v>
      </c>
    </row>
    <row r="29" spans="1:15">
      <c r="A29" s="3">
        <v>46144</v>
      </c>
      <c r="B29" t="s">
        <v>160</v>
      </c>
      <c r="D29">
        <f t="shared" si="0"/>
        <v>433</v>
      </c>
      <c r="L29">
        <v>433</v>
      </c>
    </row>
    <row r="30" spans="1:15">
      <c r="B30" t="s">
        <v>212</v>
      </c>
      <c r="C30" t="s">
        <v>145</v>
      </c>
      <c r="D30">
        <f t="shared" si="0"/>
        <v>60</v>
      </c>
      <c r="L30">
        <v>60</v>
      </c>
    </row>
    <row r="31" spans="1:15">
      <c r="A31" s="3">
        <v>46145</v>
      </c>
      <c r="B31" t="s">
        <v>161</v>
      </c>
      <c r="D31">
        <f t="shared" si="0"/>
        <v>17.690000000000001</v>
      </c>
      <c r="N31">
        <v>17.690000000000001</v>
      </c>
    </row>
    <row r="32" spans="1:15">
      <c r="A32" s="3">
        <v>46149</v>
      </c>
      <c r="B32" t="s">
        <v>161</v>
      </c>
      <c r="D32">
        <f t="shared" si="0"/>
        <v>112.99</v>
      </c>
      <c r="N32">
        <v>112.99</v>
      </c>
    </row>
    <row r="33" spans="1:15">
      <c r="B33" t="s">
        <v>161</v>
      </c>
      <c r="D33">
        <f t="shared" si="0"/>
        <v>0.98</v>
      </c>
      <c r="N33">
        <v>0.98</v>
      </c>
    </row>
    <row r="34" spans="1:15">
      <c r="B34" t="s">
        <v>148</v>
      </c>
      <c r="C34" t="s">
        <v>145</v>
      </c>
      <c r="D34">
        <f t="shared" si="0"/>
        <v>30</v>
      </c>
      <c r="L34">
        <v>30</v>
      </c>
    </row>
    <row r="35" spans="1:15">
      <c r="A35" s="3">
        <v>46151</v>
      </c>
      <c r="B35" t="s">
        <v>161</v>
      </c>
      <c r="D35">
        <f t="shared" si="0"/>
        <v>6.39</v>
      </c>
      <c r="N35">
        <v>6.39</v>
      </c>
    </row>
    <row r="36" spans="1:15">
      <c r="B36" t="s">
        <v>149</v>
      </c>
      <c r="D36">
        <f t="shared" si="0"/>
        <v>200</v>
      </c>
      <c r="L36">
        <v>200</v>
      </c>
    </row>
    <row r="37" spans="1:15">
      <c r="A37" s="3">
        <v>46152</v>
      </c>
      <c r="B37" t="s">
        <v>161</v>
      </c>
      <c r="D37">
        <f t="shared" si="0"/>
        <v>6.87</v>
      </c>
      <c r="N37">
        <v>6.87</v>
      </c>
    </row>
    <row r="38" spans="1:15">
      <c r="A38" s="3">
        <v>46155</v>
      </c>
      <c r="B38" t="s">
        <v>173</v>
      </c>
      <c r="D38">
        <f t="shared" si="0"/>
        <v>25000</v>
      </c>
      <c r="J38">
        <v>25000</v>
      </c>
      <c r="O38" t="s">
        <v>173</v>
      </c>
    </row>
    <row r="39" spans="1:15">
      <c r="B39" t="s">
        <v>214</v>
      </c>
      <c r="D39">
        <f t="shared" si="0"/>
        <v>88.42</v>
      </c>
      <c r="N39">
        <v>88.42</v>
      </c>
    </row>
    <row r="40" spans="1:15">
      <c r="B40" t="s">
        <v>148</v>
      </c>
      <c r="D40">
        <f t="shared" si="0"/>
        <v>856.74</v>
      </c>
      <c r="G40">
        <v>856.74</v>
      </c>
      <c r="O40" t="s">
        <v>232</v>
      </c>
    </row>
    <row r="41" spans="1:15">
      <c r="A41" s="3">
        <v>46158</v>
      </c>
      <c r="B41" t="s">
        <v>161</v>
      </c>
      <c r="D41">
        <f t="shared" si="0"/>
        <v>21.62</v>
      </c>
      <c r="N41">
        <v>21.62</v>
      </c>
    </row>
    <row r="42" spans="1:15">
      <c r="A42" s="3">
        <v>46162</v>
      </c>
      <c r="B42" t="s">
        <v>161</v>
      </c>
      <c r="D42">
        <f t="shared" si="0"/>
        <v>41.26</v>
      </c>
      <c r="N42">
        <v>41.26</v>
      </c>
    </row>
    <row r="43" spans="1:15">
      <c r="A43" s="3">
        <v>46162</v>
      </c>
      <c r="B43" t="s">
        <v>161</v>
      </c>
      <c r="D43">
        <f t="shared" si="0"/>
        <v>0.49</v>
      </c>
      <c r="N43">
        <v>0.49</v>
      </c>
    </row>
    <row r="44" spans="1:15">
      <c r="A44" s="3">
        <v>46165</v>
      </c>
      <c r="B44" t="s">
        <v>161</v>
      </c>
      <c r="D44">
        <f t="shared" si="0"/>
        <v>13.26</v>
      </c>
      <c r="N44">
        <v>13.26</v>
      </c>
    </row>
    <row r="45" spans="1:15">
      <c r="A45" s="3">
        <v>46166</v>
      </c>
      <c r="B45" t="s">
        <v>161</v>
      </c>
      <c r="D45">
        <f t="shared" si="0"/>
        <v>0.98</v>
      </c>
      <c r="N45">
        <v>0.98</v>
      </c>
    </row>
    <row r="46" spans="1:15">
      <c r="A46" s="3">
        <v>46170</v>
      </c>
      <c r="B46" t="s">
        <v>161</v>
      </c>
      <c r="D46">
        <f t="shared" si="0"/>
        <v>61.9</v>
      </c>
      <c r="N46">
        <v>61.9</v>
      </c>
    </row>
    <row r="47" spans="1:15">
      <c r="B47" t="s">
        <v>161</v>
      </c>
      <c r="D47">
        <f t="shared" si="0"/>
        <v>3.93</v>
      </c>
      <c r="N47">
        <v>3.93</v>
      </c>
    </row>
    <row r="48" spans="1:15">
      <c r="B48" t="s">
        <v>161</v>
      </c>
      <c r="D48">
        <f t="shared" si="0"/>
        <v>5.89</v>
      </c>
      <c r="N48">
        <v>5.89</v>
      </c>
    </row>
    <row r="49" spans="1:14">
      <c r="A49" s="3">
        <v>46172</v>
      </c>
      <c r="B49" t="s">
        <v>201</v>
      </c>
      <c r="D49">
        <f t="shared" si="0"/>
        <v>200</v>
      </c>
      <c r="L49">
        <v>200</v>
      </c>
    </row>
    <row r="50" spans="1:14">
      <c r="A50" s="3">
        <v>46176</v>
      </c>
      <c r="B50" t="s">
        <v>160</v>
      </c>
      <c r="D50">
        <f t="shared" si="0"/>
        <v>433</v>
      </c>
      <c r="L50">
        <v>433</v>
      </c>
    </row>
    <row r="51" spans="1:14">
      <c r="B51" t="s">
        <v>161</v>
      </c>
      <c r="D51">
        <f t="shared" si="0"/>
        <v>138.53</v>
      </c>
      <c r="N51">
        <v>138.53</v>
      </c>
    </row>
    <row r="52" spans="1:14">
      <c r="A52" s="3">
        <v>46177</v>
      </c>
      <c r="B52" t="s">
        <v>225</v>
      </c>
      <c r="C52" t="s">
        <v>145</v>
      </c>
      <c r="D52">
        <f t="shared" si="0"/>
        <v>383.98</v>
      </c>
      <c r="K52">
        <v>383.98</v>
      </c>
    </row>
    <row r="53" spans="1:14">
      <c r="A53" s="3">
        <v>46178</v>
      </c>
      <c r="B53" t="s">
        <v>159</v>
      </c>
      <c r="D53">
        <f t="shared" si="0"/>
        <v>90</v>
      </c>
      <c r="L53">
        <v>90</v>
      </c>
    </row>
    <row r="54" spans="1:14">
      <c r="A54" s="3">
        <v>46186</v>
      </c>
      <c r="B54" t="s">
        <v>161</v>
      </c>
      <c r="D54">
        <f t="shared" si="0"/>
        <v>1.47</v>
      </c>
      <c r="N54">
        <v>1.47</v>
      </c>
    </row>
    <row r="55" spans="1:14">
      <c r="A55" s="3">
        <v>46187</v>
      </c>
      <c r="B55" t="s">
        <v>201</v>
      </c>
      <c r="D55">
        <f t="shared" si="0"/>
        <v>360</v>
      </c>
      <c r="L55">
        <v>360</v>
      </c>
    </row>
    <row r="56" spans="1:14">
      <c r="A56" s="3">
        <v>46190</v>
      </c>
      <c r="B56" t="s">
        <v>161</v>
      </c>
      <c r="D56">
        <f t="shared" si="0"/>
        <v>2.95</v>
      </c>
      <c r="N56">
        <v>2.95</v>
      </c>
    </row>
    <row r="57" spans="1:14">
      <c r="A57" s="3">
        <v>46191</v>
      </c>
      <c r="B57" t="s">
        <v>161</v>
      </c>
      <c r="D57">
        <f t="shared" si="0"/>
        <v>93.34</v>
      </c>
      <c r="N57">
        <v>93.34</v>
      </c>
    </row>
    <row r="58" spans="1:14">
      <c r="A58" s="3">
        <v>46194</v>
      </c>
      <c r="B58" t="s">
        <v>161</v>
      </c>
      <c r="D58">
        <f t="shared" si="0"/>
        <v>9.82</v>
      </c>
      <c r="N58">
        <v>9.82</v>
      </c>
    </row>
    <row r="59" spans="1:14">
      <c r="A59" s="3">
        <v>46197</v>
      </c>
      <c r="B59" t="s">
        <v>161</v>
      </c>
      <c r="D59">
        <f t="shared" si="0"/>
        <v>56.49</v>
      </c>
      <c r="N59">
        <v>56.49</v>
      </c>
    </row>
    <row r="60" spans="1:14">
      <c r="A60" s="3">
        <v>46197</v>
      </c>
      <c r="B60" t="s">
        <v>150</v>
      </c>
      <c r="D60">
        <f t="shared" si="0"/>
        <v>10</v>
      </c>
      <c r="L60">
        <v>10</v>
      </c>
    </row>
    <row r="61" spans="1:14">
      <c r="A61" s="3">
        <v>46198</v>
      </c>
      <c r="B61" t="s">
        <v>201</v>
      </c>
      <c r="D61">
        <f t="shared" si="0"/>
        <v>600</v>
      </c>
      <c r="L61">
        <v>600</v>
      </c>
    </row>
    <row r="62" spans="1:14">
      <c r="A62" s="3">
        <v>46200</v>
      </c>
      <c r="B62" t="s">
        <v>148</v>
      </c>
      <c r="D62">
        <f t="shared" si="0"/>
        <v>715</v>
      </c>
      <c r="L62">
        <v>715</v>
      </c>
    </row>
    <row r="63" spans="1:14">
      <c r="A63" s="3">
        <v>46200</v>
      </c>
      <c r="B63" t="s">
        <v>161</v>
      </c>
      <c r="D63">
        <f t="shared" si="0"/>
        <v>3.93</v>
      </c>
      <c r="N63">
        <v>3.93</v>
      </c>
    </row>
    <row r="64" spans="1:14">
      <c r="A64" s="3">
        <v>46201</v>
      </c>
      <c r="B64" t="s">
        <v>207</v>
      </c>
      <c r="D64">
        <f t="shared" si="0"/>
        <v>157.5</v>
      </c>
      <c r="L64">
        <v>157.5</v>
      </c>
    </row>
    <row r="65" spans="1:14">
      <c r="B65" t="s">
        <v>230</v>
      </c>
      <c r="D65">
        <f t="shared" si="0"/>
        <v>15</v>
      </c>
      <c r="L65">
        <v>15</v>
      </c>
    </row>
    <row r="66" spans="1:14">
      <c r="B66" t="s">
        <v>161</v>
      </c>
      <c r="D66">
        <f t="shared" si="0"/>
        <v>9.82</v>
      </c>
      <c r="N66">
        <v>9.82</v>
      </c>
    </row>
    <row r="67" spans="1:14">
      <c r="A67" s="3">
        <v>46204</v>
      </c>
      <c r="B67" t="s">
        <v>160</v>
      </c>
      <c r="D67">
        <f t="shared" si="0"/>
        <v>433</v>
      </c>
      <c r="L67">
        <v>433</v>
      </c>
    </row>
    <row r="68" spans="1:14">
      <c r="B68" t="s">
        <v>161</v>
      </c>
      <c r="D68">
        <f t="shared" ref="D68:D131" si="1">SUM(E68:N68)</f>
        <v>3.93</v>
      </c>
      <c r="N68">
        <v>3.93</v>
      </c>
    </row>
    <row r="69" spans="1:14">
      <c r="A69" s="3">
        <v>46205</v>
      </c>
      <c r="B69" t="s">
        <v>152</v>
      </c>
      <c r="D69">
        <f t="shared" si="1"/>
        <v>35</v>
      </c>
      <c r="L69">
        <v>35</v>
      </c>
    </row>
    <row r="70" spans="1:14">
      <c r="A70" s="3">
        <v>46207</v>
      </c>
      <c r="B70" t="s">
        <v>148</v>
      </c>
      <c r="D70">
        <f t="shared" si="1"/>
        <v>180</v>
      </c>
      <c r="L70">
        <v>180</v>
      </c>
    </row>
    <row r="71" spans="1:14">
      <c r="A71" s="3">
        <v>46211</v>
      </c>
      <c r="B71" t="s">
        <v>161</v>
      </c>
      <c r="D71">
        <f t="shared" si="1"/>
        <v>4.42</v>
      </c>
      <c r="N71">
        <v>4.42</v>
      </c>
    </row>
    <row r="72" spans="1:14">
      <c r="A72" s="3">
        <v>46213</v>
      </c>
      <c r="B72" t="s">
        <v>161</v>
      </c>
      <c r="D72">
        <f t="shared" si="1"/>
        <v>1.96</v>
      </c>
      <c r="N72">
        <v>1.96</v>
      </c>
    </row>
    <row r="73" spans="1:14">
      <c r="A73" s="3">
        <v>46214</v>
      </c>
      <c r="B73" t="s">
        <v>148</v>
      </c>
      <c r="D73">
        <f t="shared" si="1"/>
        <v>573</v>
      </c>
      <c r="L73">
        <v>573</v>
      </c>
    </row>
    <row r="74" spans="1:14">
      <c r="A74" s="3">
        <v>46215</v>
      </c>
      <c r="B74" t="s">
        <v>148</v>
      </c>
      <c r="D74">
        <f>SUM(F74:N74)</f>
        <v>1215.6300000000001</v>
      </c>
      <c r="G74">
        <v>1215.6300000000001</v>
      </c>
    </row>
    <row r="75" spans="1:14">
      <c r="B75" t="s">
        <v>161</v>
      </c>
      <c r="D75">
        <f t="shared" si="1"/>
        <v>10.8</v>
      </c>
      <c r="N75">
        <v>10.8</v>
      </c>
    </row>
    <row r="76" spans="1:14">
      <c r="A76" s="3">
        <v>46218</v>
      </c>
      <c r="B76" t="s">
        <v>161</v>
      </c>
      <c r="D76">
        <f t="shared" si="1"/>
        <v>10.61</v>
      </c>
      <c r="N76">
        <v>10.61</v>
      </c>
    </row>
    <row r="77" spans="1:14">
      <c r="B77" t="s">
        <v>161</v>
      </c>
      <c r="D77">
        <f t="shared" si="1"/>
        <v>2.5099999999999998</v>
      </c>
      <c r="N77">
        <v>2.5099999999999998</v>
      </c>
    </row>
    <row r="78" spans="1:14">
      <c r="A78" s="3">
        <v>46222</v>
      </c>
      <c r="B78" t="s">
        <v>207</v>
      </c>
      <c r="D78">
        <f t="shared" si="1"/>
        <v>390</v>
      </c>
      <c r="L78">
        <v>390</v>
      </c>
    </row>
    <row r="79" spans="1:14">
      <c r="B79" t="s">
        <v>161</v>
      </c>
      <c r="D79">
        <f t="shared" si="1"/>
        <v>4.42</v>
      </c>
      <c r="N79">
        <v>4.42</v>
      </c>
    </row>
    <row r="80" spans="1:14">
      <c r="B80" t="s">
        <v>201</v>
      </c>
      <c r="D80">
        <f t="shared" si="1"/>
        <v>155</v>
      </c>
      <c r="L80">
        <v>155</v>
      </c>
    </row>
    <row r="81" spans="1:14">
      <c r="A81" s="3">
        <v>46225</v>
      </c>
      <c r="B81" t="s">
        <v>161</v>
      </c>
      <c r="D81">
        <f t="shared" si="1"/>
        <v>26.33</v>
      </c>
      <c r="N81">
        <v>26.33</v>
      </c>
    </row>
    <row r="82" spans="1:14">
      <c r="B82" t="s">
        <v>148</v>
      </c>
      <c r="D82">
        <f t="shared" si="1"/>
        <v>30</v>
      </c>
      <c r="N82">
        <v>30</v>
      </c>
    </row>
    <row r="83" spans="1:14">
      <c r="B83" t="s">
        <v>201</v>
      </c>
      <c r="D83">
        <f t="shared" si="1"/>
        <v>500</v>
      </c>
      <c r="L83">
        <v>500</v>
      </c>
    </row>
    <row r="84" spans="1:14">
      <c r="B84" t="s">
        <v>161</v>
      </c>
      <c r="D84">
        <f t="shared" si="1"/>
        <v>9.82</v>
      </c>
      <c r="N84">
        <v>9.82</v>
      </c>
    </row>
    <row r="85" spans="1:14">
      <c r="A85" s="3">
        <v>46228</v>
      </c>
      <c r="B85" t="s">
        <v>161</v>
      </c>
      <c r="D85">
        <f t="shared" si="1"/>
        <v>2.95</v>
      </c>
      <c r="N85">
        <v>2.95</v>
      </c>
    </row>
    <row r="86" spans="1:14">
      <c r="A86" s="3">
        <v>46229</v>
      </c>
      <c r="B86" t="s">
        <v>161</v>
      </c>
      <c r="D86">
        <f t="shared" si="1"/>
        <v>11.79</v>
      </c>
      <c r="N86">
        <v>11.79</v>
      </c>
    </row>
    <row r="87" spans="1:14">
      <c r="A87" s="3">
        <v>46232</v>
      </c>
      <c r="B87" t="s">
        <v>201</v>
      </c>
      <c r="D87">
        <f t="shared" si="1"/>
        <v>350</v>
      </c>
      <c r="L87">
        <v>350</v>
      </c>
    </row>
    <row r="88" spans="1:14">
      <c r="A88" s="3">
        <v>46232</v>
      </c>
      <c r="B88" t="s">
        <v>214</v>
      </c>
      <c r="D88">
        <f t="shared" si="1"/>
        <v>10.31</v>
      </c>
      <c r="N88">
        <v>10.31</v>
      </c>
    </row>
    <row r="89" spans="1:14">
      <c r="A89" s="3">
        <v>46233</v>
      </c>
      <c r="B89" t="s">
        <v>214</v>
      </c>
      <c r="D89">
        <f t="shared" si="1"/>
        <v>6.63</v>
      </c>
      <c r="N89">
        <v>6.63</v>
      </c>
    </row>
    <row r="90" spans="1:14">
      <c r="A90" s="3">
        <v>46235</v>
      </c>
      <c r="B90" t="s">
        <v>160</v>
      </c>
      <c r="D90">
        <f t="shared" si="1"/>
        <v>480</v>
      </c>
      <c r="L90">
        <v>480</v>
      </c>
    </row>
    <row r="91" spans="1:14">
      <c r="B91" t="s">
        <v>161</v>
      </c>
      <c r="D91">
        <f t="shared" si="1"/>
        <v>3.93</v>
      </c>
      <c r="N91">
        <v>3.93</v>
      </c>
    </row>
    <row r="92" spans="1:14">
      <c r="A92" s="3">
        <v>46236</v>
      </c>
      <c r="B92" t="s">
        <v>161</v>
      </c>
      <c r="D92">
        <f t="shared" si="1"/>
        <v>2.94</v>
      </c>
      <c r="N92">
        <v>2.94</v>
      </c>
    </row>
    <row r="93" spans="1:14">
      <c r="A93" s="3">
        <v>46239</v>
      </c>
      <c r="B93" t="s">
        <v>161</v>
      </c>
      <c r="D93">
        <f t="shared" si="1"/>
        <v>4.76</v>
      </c>
      <c r="N93">
        <v>4.76</v>
      </c>
    </row>
    <row r="94" spans="1:14">
      <c r="A94" s="3">
        <v>46241</v>
      </c>
      <c r="B94" t="s">
        <v>201</v>
      </c>
      <c r="D94">
        <f t="shared" si="1"/>
        <v>400</v>
      </c>
      <c r="L94">
        <v>400</v>
      </c>
    </row>
    <row r="95" spans="1:14">
      <c r="A95" s="3">
        <v>46242</v>
      </c>
      <c r="B95" t="s">
        <v>212</v>
      </c>
      <c r="D95">
        <f t="shared" si="1"/>
        <v>60</v>
      </c>
      <c r="L95">
        <v>60</v>
      </c>
    </row>
    <row r="96" spans="1:14">
      <c r="B96" t="s">
        <v>161</v>
      </c>
      <c r="D96">
        <f t="shared" si="1"/>
        <v>0.98</v>
      </c>
      <c r="N96">
        <v>0.98</v>
      </c>
    </row>
    <row r="97" spans="1:14">
      <c r="B97" t="s">
        <v>244</v>
      </c>
      <c r="D97">
        <f t="shared" si="1"/>
        <v>1250</v>
      </c>
      <c r="L97">
        <v>1250</v>
      </c>
    </row>
    <row r="98" spans="1:14">
      <c r="A98" s="3">
        <v>46243</v>
      </c>
      <c r="B98" t="s">
        <v>207</v>
      </c>
      <c r="D98">
        <f t="shared" si="1"/>
        <v>330</v>
      </c>
      <c r="L98">
        <v>330</v>
      </c>
    </row>
    <row r="99" spans="1:14">
      <c r="B99" t="s">
        <v>161</v>
      </c>
      <c r="D99">
        <f t="shared" si="1"/>
        <v>18.66</v>
      </c>
      <c r="N99">
        <v>18.66</v>
      </c>
    </row>
    <row r="100" spans="1:14">
      <c r="A100" s="3">
        <v>46249</v>
      </c>
      <c r="B100" t="s">
        <v>148</v>
      </c>
      <c r="D100">
        <f t="shared" si="1"/>
        <v>45</v>
      </c>
      <c r="H100" s="7"/>
      <c r="L100">
        <v>45</v>
      </c>
    </row>
    <row r="101" spans="1:14">
      <c r="A101" s="3">
        <v>46250</v>
      </c>
      <c r="B101" t="s">
        <v>161</v>
      </c>
      <c r="D101">
        <f t="shared" si="1"/>
        <v>1.47</v>
      </c>
      <c r="N101">
        <v>1.47</v>
      </c>
    </row>
    <row r="102" spans="1:14">
      <c r="A102" s="3">
        <v>46253</v>
      </c>
      <c r="B102" t="s">
        <v>161</v>
      </c>
      <c r="D102">
        <f t="shared" si="1"/>
        <v>75.930000000000007</v>
      </c>
      <c r="N102">
        <v>75.930000000000007</v>
      </c>
    </row>
    <row r="103" spans="1:14">
      <c r="A103" s="3">
        <v>46254</v>
      </c>
      <c r="B103" t="s">
        <v>161</v>
      </c>
      <c r="D103">
        <f t="shared" si="1"/>
        <v>4.91</v>
      </c>
      <c r="N103">
        <v>4.91</v>
      </c>
    </row>
    <row r="104" spans="1:14">
      <c r="A104" s="3">
        <v>46255</v>
      </c>
      <c r="B104" t="s">
        <v>201</v>
      </c>
      <c r="D104">
        <f t="shared" si="1"/>
        <v>350</v>
      </c>
      <c r="L104">
        <v>350</v>
      </c>
    </row>
    <row r="105" spans="1:14">
      <c r="B105" t="s">
        <v>161</v>
      </c>
      <c r="D105">
        <f t="shared" si="1"/>
        <v>58.95</v>
      </c>
      <c r="M105">
        <v>5.34</v>
      </c>
      <c r="N105">
        <f>58.95-5.34</f>
        <v>53.61</v>
      </c>
    </row>
    <row r="106" spans="1:14">
      <c r="A106" s="3">
        <v>46256</v>
      </c>
      <c r="B106" t="s">
        <v>161</v>
      </c>
      <c r="D106">
        <f t="shared" si="1"/>
        <v>5.25</v>
      </c>
      <c r="N106">
        <v>5.25</v>
      </c>
    </row>
    <row r="107" spans="1:14">
      <c r="A107" s="3">
        <v>46261</v>
      </c>
      <c r="B107" t="s">
        <v>161</v>
      </c>
      <c r="D107">
        <f t="shared" si="1"/>
        <v>34.869999999999997</v>
      </c>
      <c r="N107">
        <v>34.869999999999997</v>
      </c>
    </row>
    <row r="108" spans="1:14">
      <c r="B108" t="s">
        <v>161</v>
      </c>
      <c r="D108">
        <f t="shared" si="1"/>
        <v>14.74</v>
      </c>
      <c r="N108">
        <v>14.74</v>
      </c>
    </row>
    <row r="109" spans="1:14">
      <c r="A109" s="3">
        <v>46263</v>
      </c>
      <c r="B109" t="s">
        <v>161</v>
      </c>
      <c r="D109">
        <f t="shared" si="1"/>
        <v>7.86</v>
      </c>
      <c r="N109">
        <v>7.86</v>
      </c>
    </row>
    <row r="110" spans="1:14">
      <c r="A110" s="3">
        <v>46264</v>
      </c>
      <c r="B110" t="s">
        <v>161</v>
      </c>
      <c r="D110">
        <f t="shared" si="1"/>
        <v>1.96</v>
      </c>
      <c r="N110">
        <v>1.96</v>
      </c>
    </row>
    <row r="111" spans="1:14">
      <c r="A111" s="3">
        <v>46267</v>
      </c>
      <c r="B111" t="s">
        <v>160</v>
      </c>
      <c r="D111">
        <f t="shared" si="1"/>
        <v>480</v>
      </c>
      <c r="L111">
        <v>480</v>
      </c>
    </row>
    <row r="112" spans="1:14">
      <c r="B112" t="s">
        <v>161</v>
      </c>
      <c r="D112">
        <f t="shared" si="1"/>
        <v>53.17</v>
      </c>
      <c r="L112">
        <v>53.17</v>
      </c>
    </row>
    <row r="113" spans="1:15">
      <c r="A113" s="3">
        <v>46268</v>
      </c>
      <c r="B113" t="s">
        <v>161</v>
      </c>
      <c r="D113">
        <f t="shared" si="1"/>
        <v>3.54</v>
      </c>
      <c r="N113">
        <v>3.54</v>
      </c>
    </row>
    <row r="114" spans="1:15">
      <c r="A114" s="3">
        <v>46270</v>
      </c>
      <c r="B114" t="s">
        <v>201</v>
      </c>
      <c r="D114">
        <f t="shared" si="1"/>
        <v>500</v>
      </c>
      <c r="L114">
        <v>500</v>
      </c>
    </row>
    <row r="115" spans="1:15">
      <c r="A115" s="3"/>
      <c r="B115" t="s">
        <v>161</v>
      </c>
      <c r="D115">
        <f t="shared" si="1"/>
        <v>2.95</v>
      </c>
      <c r="N115">
        <v>2.95</v>
      </c>
    </row>
    <row r="116" spans="1:15">
      <c r="A116" s="3">
        <v>46271</v>
      </c>
      <c r="B116" t="s">
        <v>161</v>
      </c>
      <c r="D116">
        <f t="shared" si="1"/>
        <v>47.15</v>
      </c>
      <c r="N116">
        <v>47.15</v>
      </c>
    </row>
    <row r="117" spans="1:15">
      <c r="A117" s="3">
        <v>46274</v>
      </c>
      <c r="B117" t="s">
        <v>207</v>
      </c>
      <c r="D117">
        <f t="shared" si="1"/>
        <v>330</v>
      </c>
      <c r="L117">
        <v>330</v>
      </c>
    </row>
    <row r="118" spans="1:15">
      <c r="A118" s="3">
        <v>46275</v>
      </c>
      <c r="B118" t="s">
        <v>201</v>
      </c>
      <c r="D118">
        <f t="shared" si="1"/>
        <v>500</v>
      </c>
      <c r="L118">
        <v>500</v>
      </c>
    </row>
    <row r="119" spans="1:15">
      <c r="A119" s="3">
        <v>46277</v>
      </c>
      <c r="B119" t="s">
        <v>201</v>
      </c>
      <c r="D119">
        <f t="shared" si="1"/>
        <v>400</v>
      </c>
      <c r="L119">
        <v>400</v>
      </c>
    </row>
    <row r="120" spans="1:15">
      <c r="A120" s="3">
        <v>46284</v>
      </c>
      <c r="B120" t="s">
        <v>148</v>
      </c>
      <c r="D120">
        <f t="shared" si="1"/>
        <v>25</v>
      </c>
      <c r="L120">
        <v>25</v>
      </c>
    </row>
    <row r="121" spans="1:15">
      <c r="A121" s="3">
        <v>46289</v>
      </c>
      <c r="B121" t="s">
        <v>256</v>
      </c>
      <c r="D121">
        <f t="shared" si="1"/>
        <v>240</v>
      </c>
      <c r="L121">
        <v>240</v>
      </c>
    </row>
    <row r="122" spans="1:15">
      <c r="A122" s="3">
        <v>46295</v>
      </c>
      <c r="B122" t="s">
        <v>201</v>
      </c>
      <c r="D122">
        <f t="shared" si="1"/>
        <v>495</v>
      </c>
      <c r="L122">
        <v>495</v>
      </c>
    </row>
    <row r="123" spans="1:15">
      <c r="A123" s="3">
        <v>46296</v>
      </c>
      <c r="B123" t="s">
        <v>160</v>
      </c>
      <c r="D123">
        <f t="shared" si="1"/>
        <v>480</v>
      </c>
      <c r="L123">
        <v>480</v>
      </c>
    </row>
    <row r="124" spans="1:15">
      <c r="A124" s="3">
        <v>46297</v>
      </c>
      <c r="B124" t="s">
        <v>150</v>
      </c>
      <c r="D124">
        <f t="shared" si="1"/>
        <v>10</v>
      </c>
      <c r="L124">
        <v>10</v>
      </c>
    </row>
    <row r="125" spans="1:15">
      <c r="A125" s="3">
        <v>46299</v>
      </c>
      <c r="B125" t="s">
        <v>207</v>
      </c>
      <c r="D125">
        <f t="shared" si="1"/>
        <v>442.5</v>
      </c>
      <c r="L125">
        <v>442.5</v>
      </c>
    </row>
    <row r="126" spans="1:15">
      <c r="A126" s="3">
        <v>46303</v>
      </c>
      <c r="B126" t="s">
        <v>264</v>
      </c>
      <c r="D126">
        <f t="shared" si="1"/>
        <v>50</v>
      </c>
      <c r="L126">
        <v>50</v>
      </c>
    </row>
    <row r="127" spans="1:15">
      <c r="B127" t="s">
        <v>201</v>
      </c>
      <c r="D127">
        <f t="shared" si="1"/>
        <v>500</v>
      </c>
      <c r="L127">
        <v>500</v>
      </c>
    </row>
    <row r="128" spans="1:15">
      <c r="A128" s="3">
        <v>46305</v>
      </c>
      <c r="B128" t="s">
        <v>265</v>
      </c>
      <c r="D128">
        <f t="shared" si="1"/>
        <v>1300</v>
      </c>
      <c r="N128">
        <v>1300</v>
      </c>
      <c r="O128" t="s">
        <v>266</v>
      </c>
    </row>
    <row r="129" spans="1:15">
      <c r="B129" t="s">
        <v>201</v>
      </c>
      <c r="D129">
        <f t="shared" si="1"/>
        <v>460</v>
      </c>
      <c r="L129">
        <v>460</v>
      </c>
    </row>
    <row r="130" spans="1:15">
      <c r="A130" s="3">
        <v>46306</v>
      </c>
      <c r="B130" t="s">
        <v>212</v>
      </c>
      <c r="D130">
        <f t="shared" si="1"/>
        <v>60</v>
      </c>
      <c r="L130">
        <v>60</v>
      </c>
    </row>
    <row r="131" spans="1:15">
      <c r="A131" s="3">
        <v>46310</v>
      </c>
      <c r="B131" t="s">
        <v>201</v>
      </c>
      <c r="D131">
        <f t="shared" si="1"/>
        <v>67.5</v>
      </c>
      <c r="L131">
        <v>67.5</v>
      </c>
    </row>
    <row r="132" spans="1:15">
      <c r="B132" t="s">
        <v>256</v>
      </c>
      <c r="D132">
        <f t="shared" ref="D132:D195" si="2">SUM(E132:N132)</f>
        <v>35</v>
      </c>
      <c r="L132">
        <v>35</v>
      </c>
    </row>
    <row r="133" spans="1:15">
      <c r="A133" s="3">
        <v>46314</v>
      </c>
      <c r="B133" t="s">
        <v>269</v>
      </c>
      <c r="D133">
        <f t="shared" si="2"/>
        <v>60</v>
      </c>
      <c r="L133">
        <v>60</v>
      </c>
    </row>
    <row r="134" spans="1:15">
      <c r="B134" t="s">
        <v>270</v>
      </c>
      <c r="D134">
        <f t="shared" si="2"/>
        <v>10</v>
      </c>
      <c r="L134">
        <v>10</v>
      </c>
    </row>
    <row r="135" spans="1:15">
      <c r="A135" s="3">
        <v>46316</v>
      </c>
      <c r="B135" t="s">
        <v>271</v>
      </c>
      <c r="D135">
        <f t="shared" si="2"/>
        <v>60</v>
      </c>
      <c r="L135">
        <v>60</v>
      </c>
    </row>
    <row r="136" spans="1:15">
      <c r="A136" s="3">
        <v>46317</v>
      </c>
      <c r="B136" t="s">
        <v>272</v>
      </c>
      <c r="D136">
        <f t="shared" si="2"/>
        <v>60</v>
      </c>
      <c r="L136">
        <v>60</v>
      </c>
    </row>
    <row r="137" spans="1:15">
      <c r="A137" s="3">
        <v>46320</v>
      </c>
      <c r="B137" t="s">
        <v>207</v>
      </c>
      <c r="D137">
        <f t="shared" si="2"/>
        <v>1020</v>
      </c>
      <c r="L137">
        <v>1020</v>
      </c>
    </row>
    <row r="138" spans="1:15">
      <c r="B138" t="s">
        <v>148</v>
      </c>
      <c r="D138">
        <f t="shared" si="2"/>
        <v>50</v>
      </c>
      <c r="L138">
        <v>50</v>
      </c>
    </row>
    <row r="139" spans="1:15">
      <c r="B139" t="s">
        <v>148</v>
      </c>
      <c r="D139">
        <f t="shared" si="2"/>
        <v>162.5</v>
      </c>
      <c r="L139">
        <v>162.5</v>
      </c>
    </row>
    <row r="140" spans="1:15">
      <c r="A140" s="3">
        <v>46327</v>
      </c>
      <c r="B140" t="s">
        <v>274</v>
      </c>
      <c r="D140">
        <f t="shared" si="2"/>
        <v>480</v>
      </c>
      <c r="L140">
        <v>480</v>
      </c>
    </row>
    <row r="141" spans="1:15">
      <c r="B141" t="s">
        <v>207</v>
      </c>
      <c r="D141">
        <f t="shared" si="2"/>
        <v>390</v>
      </c>
      <c r="L141">
        <v>390</v>
      </c>
    </row>
    <row r="142" spans="1:15">
      <c r="B142" t="s">
        <v>201</v>
      </c>
      <c r="D142">
        <f t="shared" si="2"/>
        <v>500</v>
      </c>
      <c r="L142">
        <v>500</v>
      </c>
    </row>
    <row r="143" spans="1:15">
      <c r="B143" t="s">
        <v>201</v>
      </c>
      <c r="D143">
        <f t="shared" si="2"/>
        <v>125</v>
      </c>
      <c r="L143">
        <v>125</v>
      </c>
    </row>
    <row r="144" spans="1:15">
      <c r="A144" s="3">
        <v>46334</v>
      </c>
      <c r="B144" t="s">
        <v>148</v>
      </c>
      <c r="D144">
        <f t="shared" si="2"/>
        <v>3000</v>
      </c>
      <c r="H144">
        <v>3000</v>
      </c>
      <c r="O144" t="s">
        <v>277</v>
      </c>
    </row>
    <row r="145" spans="1:15">
      <c r="B145" t="s">
        <v>207</v>
      </c>
      <c r="D145">
        <f t="shared" si="2"/>
        <v>210</v>
      </c>
      <c r="L145">
        <v>210</v>
      </c>
    </row>
    <row r="146" spans="1:15">
      <c r="A146" s="3">
        <v>46337</v>
      </c>
      <c r="B146" t="s">
        <v>152</v>
      </c>
      <c r="D146">
        <f t="shared" si="2"/>
        <v>45</v>
      </c>
      <c r="L146">
        <v>45</v>
      </c>
    </row>
    <row r="147" spans="1:15">
      <c r="A147" s="3">
        <v>46341</v>
      </c>
      <c r="B147" t="s">
        <v>207</v>
      </c>
      <c r="D147">
        <f t="shared" si="2"/>
        <v>420</v>
      </c>
      <c r="L147">
        <v>420</v>
      </c>
    </row>
    <row r="148" spans="1:15">
      <c r="A148" s="3">
        <v>46345</v>
      </c>
      <c r="B148" t="s">
        <v>148</v>
      </c>
      <c r="D148">
        <f t="shared" si="2"/>
        <v>90</v>
      </c>
      <c r="L148">
        <v>90</v>
      </c>
    </row>
    <row r="149" spans="1:15">
      <c r="B149" t="s">
        <v>152</v>
      </c>
      <c r="D149">
        <f t="shared" si="2"/>
        <v>45</v>
      </c>
      <c r="L149">
        <v>45</v>
      </c>
    </row>
    <row r="150" spans="1:15">
      <c r="A150" s="3">
        <v>46348</v>
      </c>
      <c r="B150" t="s">
        <v>207</v>
      </c>
      <c r="D150">
        <f t="shared" si="2"/>
        <v>390</v>
      </c>
      <c r="L150">
        <v>390</v>
      </c>
    </row>
    <row r="151" spans="1:15">
      <c r="B151" t="s">
        <v>148</v>
      </c>
      <c r="D151">
        <f t="shared" si="2"/>
        <v>2914</v>
      </c>
      <c r="H151">
        <v>2914</v>
      </c>
      <c r="O151" t="s">
        <v>288</v>
      </c>
    </row>
    <row r="152" spans="1:15">
      <c r="A152" s="3">
        <v>46353</v>
      </c>
      <c r="B152" t="s">
        <v>201</v>
      </c>
      <c r="D152">
        <f t="shared" si="2"/>
        <v>700</v>
      </c>
      <c r="L152">
        <v>700</v>
      </c>
    </row>
    <row r="153" spans="1:15">
      <c r="A153" s="3">
        <v>46355</v>
      </c>
      <c r="B153" t="s">
        <v>281</v>
      </c>
      <c r="D153">
        <f t="shared" si="2"/>
        <v>494.34</v>
      </c>
      <c r="K153">
        <v>494.34</v>
      </c>
    </row>
    <row r="154" spans="1:15">
      <c r="B154" t="s">
        <v>207</v>
      </c>
      <c r="D154">
        <f t="shared" si="2"/>
        <v>210</v>
      </c>
      <c r="L154">
        <v>210</v>
      </c>
    </row>
    <row r="155" spans="1:15">
      <c r="A155" s="3">
        <v>46358</v>
      </c>
      <c r="B155" t="s">
        <v>274</v>
      </c>
      <c r="D155">
        <f t="shared" si="2"/>
        <v>480</v>
      </c>
      <c r="L155">
        <v>480</v>
      </c>
    </row>
    <row r="156" spans="1:15">
      <c r="B156" t="s">
        <v>201</v>
      </c>
      <c r="D156">
        <f t="shared" si="2"/>
        <v>75</v>
      </c>
      <c r="L156">
        <v>75</v>
      </c>
    </row>
    <row r="157" spans="1:15">
      <c r="A157" s="3">
        <v>46361</v>
      </c>
      <c r="B157" t="s">
        <v>201</v>
      </c>
      <c r="D157">
        <f t="shared" si="2"/>
        <v>900</v>
      </c>
      <c r="L157">
        <v>900</v>
      </c>
    </row>
    <row r="158" spans="1:15">
      <c r="A158" s="3">
        <v>46362</v>
      </c>
      <c r="B158" t="s">
        <v>201</v>
      </c>
      <c r="D158">
        <f t="shared" si="2"/>
        <v>75</v>
      </c>
      <c r="L158">
        <v>75</v>
      </c>
    </row>
    <row r="159" spans="1:15">
      <c r="B159" t="s">
        <v>207</v>
      </c>
      <c r="D159">
        <f t="shared" si="2"/>
        <v>210</v>
      </c>
      <c r="L159">
        <v>210</v>
      </c>
    </row>
    <row r="160" spans="1:15">
      <c r="B160" t="s">
        <v>282</v>
      </c>
      <c r="D160">
        <f t="shared" si="2"/>
        <v>10</v>
      </c>
      <c r="L160">
        <v>10</v>
      </c>
    </row>
    <row r="161" spans="1:12">
      <c r="A161" s="3">
        <v>46366</v>
      </c>
      <c r="B161" t="s">
        <v>284</v>
      </c>
      <c r="D161">
        <f t="shared" si="2"/>
        <v>15</v>
      </c>
      <c r="L161">
        <v>15</v>
      </c>
    </row>
    <row r="162" spans="1:12">
      <c r="B162" t="s">
        <v>284</v>
      </c>
      <c r="D162">
        <f t="shared" si="2"/>
        <v>11.25</v>
      </c>
      <c r="L162">
        <v>11.25</v>
      </c>
    </row>
    <row r="163" spans="1:12">
      <c r="A163" s="3">
        <v>46368</v>
      </c>
      <c r="B163" t="s">
        <v>201</v>
      </c>
      <c r="D163">
        <f t="shared" si="2"/>
        <v>700</v>
      </c>
      <c r="L163">
        <v>700</v>
      </c>
    </row>
    <row r="164" spans="1:12">
      <c r="A164" s="3">
        <v>46369</v>
      </c>
      <c r="B164" t="s">
        <v>212</v>
      </c>
      <c r="D164">
        <f t="shared" si="2"/>
        <v>100</v>
      </c>
      <c r="L164">
        <v>100</v>
      </c>
    </row>
    <row r="165" spans="1:12">
      <c r="B165" t="s">
        <v>286</v>
      </c>
      <c r="D165">
        <f t="shared" si="2"/>
        <v>142.5</v>
      </c>
      <c r="L165">
        <v>142.5</v>
      </c>
    </row>
    <row r="166" spans="1:12">
      <c r="B166" t="s">
        <v>287</v>
      </c>
      <c r="D166">
        <f t="shared" si="2"/>
        <v>310</v>
      </c>
      <c r="L166">
        <v>310</v>
      </c>
    </row>
    <row r="167" spans="1:12">
      <c r="B167" t="s">
        <v>207</v>
      </c>
      <c r="D167">
        <f t="shared" si="2"/>
        <v>840</v>
      </c>
      <c r="L167">
        <v>840</v>
      </c>
    </row>
    <row r="168" spans="1:12">
      <c r="A168" s="3">
        <v>46373</v>
      </c>
      <c r="B168" t="s">
        <v>291</v>
      </c>
      <c r="D168">
        <f t="shared" si="2"/>
        <v>385</v>
      </c>
      <c r="L168">
        <v>385</v>
      </c>
    </row>
    <row r="169" spans="1:12">
      <c r="B169" t="s">
        <v>148</v>
      </c>
      <c r="D169">
        <f t="shared" si="2"/>
        <v>75</v>
      </c>
      <c r="L169">
        <v>75</v>
      </c>
    </row>
    <row r="170" spans="1:12">
      <c r="A170" s="3">
        <v>46375</v>
      </c>
      <c r="B170" t="s">
        <v>264</v>
      </c>
      <c r="D170">
        <f t="shared" si="2"/>
        <v>35</v>
      </c>
      <c r="L170">
        <v>35</v>
      </c>
    </row>
    <row r="171" spans="1:12">
      <c r="B171" t="s">
        <v>286</v>
      </c>
      <c r="D171">
        <f t="shared" si="2"/>
        <v>45</v>
      </c>
      <c r="L171">
        <v>45</v>
      </c>
    </row>
    <row r="172" spans="1:12">
      <c r="A172" s="3">
        <v>46387</v>
      </c>
      <c r="B172" t="s">
        <v>148</v>
      </c>
      <c r="D172">
        <f t="shared" si="2"/>
        <v>240</v>
      </c>
      <c r="L172">
        <v>240</v>
      </c>
    </row>
    <row r="173" spans="1:12">
      <c r="A173" s="3">
        <v>46024</v>
      </c>
      <c r="B173" t="s">
        <v>274</v>
      </c>
      <c r="D173">
        <f t="shared" si="2"/>
        <v>480</v>
      </c>
      <c r="L173">
        <v>480</v>
      </c>
    </row>
    <row r="174" spans="1:12">
      <c r="A174" s="3">
        <v>46029</v>
      </c>
      <c r="B174" t="s">
        <v>296</v>
      </c>
      <c r="D174">
        <f t="shared" si="2"/>
        <v>22.5</v>
      </c>
      <c r="L174">
        <v>22.5</v>
      </c>
    </row>
    <row r="175" spans="1:12">
      <c r="A175" s="3">
        <v>46031</v>
      </c>
      <c r="B175" t="s">
        <v>148</v>
      </c>
      <c r="D175">
        <f t="shared" si="2"/>
        <v>275</v>
      </c>
      <c r="L175">
        <v>275</v>
      </c>
    </row>
    <row r="176" spans="1:12">
      <c r="B176" t="s">
        <v>201</v>
      </c>
      <c r="D176">
        <f t="shared" si="2"/>
        <v>700</v>
      </c>
      <c r="L176">
        <v>700</v>
      </c>
    </row>
    <row r="177" spans="1:12">
      <c r="B177" t="s">
        <v>201</v>
      </c>
      <c r="D177">
        <f t="shared" si="2"/>
        <v>555</v>
      </c>
      <c r="L177">
        <v>555</v>
      </c>
    </row>
    <row r="178" spans="1:12">
      <c r="A178" s="3">
        <v>46032</v>
      </c>
      <c r="B178" t="s">
        <v>207</v>
      </c>
      <c r="D178">
        <f t="shared" si="2"/>
        <v>210</v>
      </c>
      <c r="L178">
        <v>210</v>
      </c>
    </row>
    <row r="179" spans="1:12">
      <c r="A179" s="3">
        <v>46038</v>
      </c>
      <c r="B179" t="s">
        <v>201</v>
      </c>
      <c r="D179">
        <f t="shared" si="2"/>
        <v>900</v>
      </c>
      <c r="L179">
        <v>900</v>
      </c>
    </row>
    <row r="180" spans="1:12">
      <c r="B180" t="s">
        <v>207</v>
      </c>
      <c r="D180">
        <f t="shared" si="2"/>
        <v>210</v>
      </c>
      <c r="L180">
        <v>210</v>
      </c>
    </row>
    <row r="181" spans="1:12">
      <c r="B181" t="s">
        <v>297</v>
      </c>
      <c r="D181">
        <f t="shared" si="2"/>
        <v>150</v>
      </c>
      <c r="L181">
        <v>150</v>
      </c>
    </row>
    <row r="182" spans="1:12">
      <c r="B182" t="s">
        <v>298</v>
      </c>
      <c r="D182">
        <f t="shared" si="2"/>
        <v>75</v>
      </c>
      <c r="L182">
        <v>75</v>
      </c>
    </row>
    <row r="183" spans="1:12">
      <c r="B183" t="s">
        <v>205</v>
      </c>
      <c r="D183">
        <f t="shared" si="2"/>
        <v>34.5</v>
      </c>
      <c r="L183">
        <v>34.5</v>
      </c>
    </row>
    <row r="184" spans="1:12">
      <c r="B184" t="s">
        <v>150</v>
      </c>
      <c r="D184">
        <f t="shared" si="2"/>
        <v>20</v>
      </c>
      <c r="L184">
        <v>20</v>
      </c>
    </row>
    <row r="185" spans="1:12">
      <c r="B185" t="s">
        <v>150</v>
      </c>
      <c r="D185">
        <f t="shared" si="2"/>
        <v>40</v>
      </c>
      <c r="L185">
        <v>40</v>
      </c>
    </row>
    <row r="186" spans="1:12">
      <c r="B186" t="s">
        <v>297</v>
      </c>
      <c r="D186">
        <f t="shared" si="2"/>
        <v>150</v>
      </c>
      <c r="L186">
        <v>150</v>
      </c>
    </row>
    <row r="187" spans="1:12">
      <c r="B187" t="s">
        <v>201</v>
      </c>
      <c r="D187">
        <f t="shared" si="2"/>
        <v>800</v>
      </c>
      <c r="L187">
        <v>800</v>
      </c>
    </row>
    <row r="188" spans="1:12">
      <c r="B188" t="s">
        <v>207</v>
      </c>
      <c r="D188">
        <f t="shared" si="2"/>
        <v>420</v>
      </c>
      <c r="L188">
        <v>420</v>
      </c>
    </row>
    <row r="189" spans="1:12">
      <c r="A189" s="3">
        <v>46054</v>
      </c>
      <c r="B189" t="s">
        <v>282</v>
      </c>
      <c r="D189">
        <f t="shared" si="2"/>
        <v>30</v>
      </c>
      <c r="L189">
        <v>30</v>
      </c>
    </row>
    <row r="190" spans="1:12">
      <c r="A190" s="3">
        <v>46056</v>
      </c>
      <c r="B190" s="3" t="s">
        <v>274</v>
      </c>
      <c r="D190">
        <f t="shared" si="2"/>
        <v>480</v>
      </c>
      <c r="L190">
        <v>480</v>
      </c>
    </row>
    <row r="191" spans="1:12">
      <c r="A191" s="3">
        <v>46057</v>
      </c>
      <c r="B191" t="s">
        <v>207</v>
      </c>
      <c r="D191">
        <f t="shared" si="2"/>
        <v>40</v>
      </c>
      <c r="L191">
        <v>40</v>
      </c>
    </row>
    <row r="192" spans="1:12">
      <c r="B192" t="s">
        <v>201</v>
      </c>
      <c r="D192">
        <f t="shared" si="2"/>
        <v>142.5</v>
      </c>
      <c r="L192">
        <v>142.5</v>
      </c>
    </row>
    <row r="193" spans="1:12">
      <c r="A193" s="3">
        <v>46064</v>
      </c>
      <c r="B193" t="s">
        <v>296</v>
      </c>
      <c r="D193">
        <f t="shared" si="2"/>
        <v>22.5</v>
      </c>
      <c r="L193">
        <v>22.5</v>
      </c>
    </row>
    <row r="194" spans="1:12">
      <c r="A194" s="3">
        <v>46066</v>
      </c>
      <c r="B194" t="s">
        <v>297</v>
      </c>
      <c r="D194">
        <f t="shared" si="2"/>
        <v>100</v>
      </c>
      <c r="L194">
        <v>100</v>
      </c>
    </row>
    <row r="195" spans="1:12">
      <c r="B195" t="s">
        <v>201</v>
      </c>
      <c r="D195">
        <f t="shared" si="2"/>
        <v>575</v>
      </c>
      <c r="L195">
        <v>575</v>
      </c>
    </row>
    <row r="196" spans="1:12">
      <c r="A196" s="3">
        <v>46070</v>
      </c>
      <c r="B196" t="s">
        <v>230</v>
      </c>
      <c r="D196">
        <f t="shared" ref="D196:D208" si="3">SUM(E196:N196)</f>
        <v>36</v>
      </c>
      <c r="L196">
        <v>36</v>
      </c>
    </row>
    <row r="197" spans="1:12">
      <c r="A197" s="3">
        <v>46071</v>
      </c>
      <c r="B197" t="s">
        <v>296</v>
      </c>
      <c r="D197">
        <f t="shared" si="3"/>
        <v>22.5</v>
      </c>
      <c r="L197">
        <v>22.5</v>
      </c>
    </row>
    <row r="198" spans="1:12">
      <c r="A198" s="3">
        <v>46072</v>
      </c>
      <c r="B198" t="s">
        <v>150</v>
      </c>
      <c r="D198">
        <f t="shared" si="3"/>
        <v>50</v>
      </c>
      <c r="L198">
        <v>50</v>
      </c>
    </row>
    <row r="199" spans="1:12">
      <c r="A199" s="3">
        <v>46078</v>
      </c>
      <c r="B199" t="s">
        <v>201</v>
      </c>
      <c r="D199">
        <f t="shared" si="3"/>
        <v>1000</v>
      </c>
      <c r="L199">
        <v>1000</v>
      </c>
    </row>
    <row r="200" spans="1:12">
      <c r="A200" s="3">
        <v>46080</v>
      </c>
      <c r="B200" t="s">
        <v>296</v>
      </c>
      <c r="D200">
        <f t="shared" si="3"/>
        <v>22.5</v>
      </c>
      <c r="L200">
        <v>22.5</v>
      </c>
    </row>
    <row r="201" spans="1:12">
      <c r="A201" s="3"/>
      <c r="B201" t="s">
        <v>296</v>
      </c>
      <c r="D201">
        <f t="shared" si="3"/>
        <v>22.5</v>
      </c>
      <c r="L201">
        <v>22.5</v>
      </c>
    </row>
    <row r="202" spans="1:12">
      <c r="A202" s="3">
        <v>46081</v>
      </c>
      <c r="B202" t="s">
        <v>286</v>
      </c>
      <c r="D202">
        <f t="shared" si="3"/>
        <v>65</v>
      </c>
      <c r="L202">
        <v>65</v>
      </c>
    </row>
    <row r="203" spans="1:12">
      <c r="A203" s="3">
        <v>46084</v>
      </c>
      <c r="B203" t="s">
        <v>274</v>
      </c>
      <c r="D203">
        <f t="shared" si="3"/>
        <v>480</v>
      </c>
      <c r="L203">
        <v>480</v>
      </c>
    </row>
    <row r="204" spans="1:12">
      <c r="A204" s="3"/>
      <c r="B204" t="s">
        <v>281</v>
      </c>
      <c r="D204">
        <f t="shared" si="3"/>
        <v>100.88</v>
      </c>
      <c r="K204">
        <v>100.88</v>
      </c>
    </row>
    <row r="205" spans="1:12">
      <c r="A205" s="3">
        <v>46087</v>
      </c>
      <c r="B205" t="s">
        <v>291</v>
      </c>
      <c r="D205">
        <f t="shared" si="3"/>
        <v>450</v>
      </c>
      <c r="L205">
        <v>450</v>
      </c>
    </row>
    <row r="206" spans="1:12">
      <c r="A206" s="3"/>
      <c r="B206" t="s">
        <v>201</v>
      </c>
      <c r="D206">
        <f t="shared" si="3"/>
        <v>1000</v>
      </c>
      <c r="L206">
        <v>1000</v>
      </c>
    </row>
    <row r="207" spans="1:12">
      <c r="A207" s="3">
        <v>46094</v>
      </c>
      <c r="B207" t="s">
        <v>148</v>
      </c>
      <c r="D207">
        <f t="shared" si="3"/>
        <v>566.5</v>
      </c>
      <c r="L207">
        <v>566.5</v>
      </c>
    </row>
    <row r="208" spans="1:12">
      <c r="A208" s="3">
        <v>46098</v>
      </c>
      <c r="B208" t="s">
        <v>152</v>
      </c>
      <c r="D208">
        <f t="shared" si="3"/>
        <v>72</v>
      </c>
      <c r="L208">
        <v>72</v>
      </c>
    </row>
    <row r="210" spans="4:14">
      <c r="D210">
        <f>SUM(D4:D208)</f>
        <v>73312.33</v>
      </c>
      <c r="E210">
        <f t="shared" ref="E210:N210" si="4">SUM(E4:E208)</f>
        <v>0</v>
      </c>
      <c r="F210">
        <f t="shared" si="4"/>
        <v>0</v>
      </c>
      <c r="G210">
        <f t="shared" si="4"/>
        <v>2072.37</v>
      </c>
      <c r="H210">
        <f t="shared" si="4"/>
        <v>5914</v>
      </c>
      <c r="I210">
        <f t="shared" si="4"/>
        <v>0</v>
      </c>
      <c r="J210">
        <f t="shared" si="4"/>
        <v>25000</v>
      </c>
      <c r="K210">
        <f t="shared" si="4"/>
        <v>979.19999999999993</v>
      </c>
      <c r="L210">
        <f t="shared" si="4"/>
        <v>36119.67</v>
      </c>
      <c r="M210">
        <f t="shared" si="4"/>
        <v>712.80000000000007</v>
      </c>
      <c r="N210">
        <f t="shared" si="4"/>
        <v>2514.29</v>
      </c>
    </row>
    <row r="211" spans="4:14">
      <c r="D211">
        <f>D210-SUM(E210:N210)</f>
        <v>0</v>
      </c>
    </row>
    <row r="213" spans="4:14">
      <c r="G213" t="s">
        <v>338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288FC-57CE-4CE9-B832-5333FBEE8CA3}">
  <sheetPr>
    <pageSetUpPr fitToPage="1"/>
  </sheetPr>
  <dimension ref="A1:S275"/>
  <sheetViews>
    <sheetView zoomScale="98" workbookViewId="0">
      <pane ySplit="4" topLeftCell="A264" activePane="bottomLeft" state="frozen"/>
      <selection pane="bottomLeft" activeCell="P271" sqref="P271"/>
    </sheetView>
  </sheetViews>
  <sheetFormatPr baseColWidth="10" defaultColWidth="8.83203125" defaultRowHeight="14"/>
  <cols>
    <col min="1" max="1" width="14.83203125" bestFit="1" customWidth="1"/>
    <col min="2" max="2" width="21.83203125" bestFit="1" customWidth="1"/>
    <col min="6" max="6" width="0" hidden="1" customWidth="1"/>
    <col min="7" max="7" width="9.83203125" bestFit="1" customWidth="1"/>
    <col min="8" max="8" width="9.83203125" customWidth="1"/>
    <col min="9" max="9" width="10.33203125" bestFit="1" customWidth="1"/>
    <col min="10" max="10" width="11.1640625" hidden="1" customWidth="1"/>
    <col min="11" max="11" width="11.1640625" customWidth="1"/>
    <col min="12" max="12" width="11.1640625" hidden="1" customWidth="1"/>
    <col min="13" max="14" width="11.1640625" customWidth="1"/>
    <col min="15" max="15" width="11.1640625" hidden="1" customWidth="1"/>
    <col min="16" max="16" width="11.1640625" customWidth="1"/>
    <col min="17" max="17" width="11.1640625" hidden="1" customWidth="1"/>
    <col min="18" max="18" width="10.5" bestFit="1" customWidth="1"/>
    <col min="19" max="19" width="56.6640625" bestFit="1" customWidth="1"/>
    <col min="20" max="20" width="17.1640625" bestFit="1" customWidth="1"/>
    <col min="21" max="21" width="9.6640625" bestFit="1" customWidth="1"/>
  </cols>
  <sheetData>
    <row r="1" spans="1:19">
      <c r="G1">
        <f>52.9-1.14</f>
        <v>51.76</v>
      </c>
    </row>
    <row r="2" spans="1:19">
      <c r="A2" t="s">
        <v>138</v>
      </c>
    </row>
    <row r="3" spans="1:19">
      <c r="M3" t="s">
        <v>183</v>
      </c>
      <c r="N3" t="s">
        <v>183</v>
      </c>
      <c r="O3" t="s">
        <v>183</v>
      </c>
      <c r="P3" t="s">
        <v>183</v>
      </c>
      <c r="Q3" t="s">
        <v>183</v>
      </c>
      <c r="R3" t="s">
        <v>183</v>
      </c>
    </row>
    <row r="4" spans="1:19">
      <c r="A4" t="s">
        <v>126</v>
      </c>
      <c r="B4" t="s">
        <v>127</v>
      </c>
      <c r="C4" t="s">
        <v>128</v>
      </c>
      <c r="D4" t="s">
        <v>136</v>
      </c>
      <c r="E4" t="s">
        <v>139</v>
      </c>
      <c r="F4" t="s">
        <v>140</v>
      </c>
      <c r="G4" t="s">
        <v>141</v>
      </c>
      <c r="H4" t="s">
        <v>175</v>
      </c>
      <c r="I4" t="s">
        <v>142</v>
      </c>
      <c r="J4" t="s">
        <v>143</v>
      </c>
      <c r="K4" t="s">
        <v>180</v>
      </c>
      <c r="L4" t="s">
        <v>186</v>
      </c>
      <c r="M4" t="s">
        <v>82</v>
      </c>
      <c r="N4" t="s">
        <v>83</v>
      </c>
      <c r="O4" t="s">
        <v>275</v>
      </c>
      <c r="P4" t="s">
        <v>173</v>
      </c>
      <c r="Q4" t="s">
        <v>174</v>
      </c>
      <c r="R4" t="s">
        <v>181</v>
      </c>
      <c r="S4" t="s">
        <v>137</v>
      </c>
    </row>
    <row r="5" spans="1:19">
      <c r="A5" s="3">
        <v>46100</v>
      </c>
      <c r="B5" t="s">
        <v>144</v>
      </c>
      <c r="C5" t="s">
        <v>145</v>
      </c>
      <c r="D5" s="5">
        <f t="shared" ref="D5:D35" si="0">SUM(E5:R5)</f>
        <v>24</v>
      </c>
      <c r="E5" s="5"/>
      <c r="F5" s="5"/>
      <c r="G5" s="5">
        <v>24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9">
      <c r="A6" s="3">
        <v>46101</v>
      </c>
      <c r="B6" t="s">
        <v>146</v>
      </c>
      <c r="D6" s="5">
        <f t="shared" si="0"/>
        <v>42.8</v>
      </c>
      <c r="E6" s="5"/>
      <c r="F6" s="5"/>
      <c r="G6" s="5">
        <v>42.8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9">
      <c r="A7" s="3">
        <v>46102</v>
      </c>
      <c r="B7" t="s">
        <v>147</v>
      </c>
      <c r="D7" s="5">
        <f t="shared" si="0"/>
        <v>45.01</v>
      </c>
      <c r="E7" s="5"/>
      <c r="F7" s="5"/>
      <c r="H7" s="5"/>
      <c r="I7" s="5">
        <f>2.61</f>
        <v>2.61</v>
      </c>
      <c r="J7" s="5"/>
      <c r="K7" s="5"/>
      <c r="L7" s="5"/>
      <c r="M7" s="5">
        <v>8.83</v>
      </c>
      <c r="N7" s="5">
        <v>33.57</v>
      </c>
      <c r="O7" s="5"/>
      <c r="P7" s="5"/>
      <c r="Q7" s="5"/>
      <c r="R7" s="5"/>
    </row>
    <row r="8" spans="1:19">
      <c r="A8" s="3">
        <v>46109</v>
      </c>
      <c r="B8" t="s">
        <v>147</v>
      </c>
      <c r="D8" s="5">
        <f t="shared" si="0"/>
        <v>53.14</v>
      </c>
      <c r="E8" s="5"/>
      <c r="F8" s="5"/>
      <c r="H8" s="5"/>
      <c r="I8" s="5">
        <f>31.77+1.25</f>
        <v>33.019999999999996</v>
      </c>
      <c r="J8" s="5"/>
      <c r="K8" s="5"/>
      <c r="L8" s="5"/>
      <c r="M8" s="5">
        <v>5.07</v>
      </c>
      <c r="N8" s="5">
        <v>15.05</v>
      </c>
      <c r="O8" s="5"/>
      <c r="P8" s="5"/>
      <c r="Q8" s="5"/>
      <c r="R8" s="5"/>
    </row>
    <row r="9" spans="1:19">
      <c r="B9" t="s">
        <v>154</v>
      </c>
      <c r="D9" s="5">
        <f t="shared" si="0"/>
        <v>1133.55</v>
      </c>
      <c r="E9" s="5">
        <v>1133.55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9">
      <c r="B10" t="s">
        <v>155</v>
      </c>
      <c r="D10" s="5">
        <f t="shared" si="0"/>
        <v>1706.27</v>
      </c>
      <c r="E10" s="5">
        <v>1706.27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9">
      <c r="B11" t="s">
        <v>156</v>
      </c>
      <c r="D11" s="5">
        <f t="shared" si="0"/>
        <v>810.42</v>
      </c>
      <c r="E11" s="5">
        <v>810.42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9">
      <c r="B12" t="s">
        <v>157</v>
      </c>
      <c r="D12" s="5">
        <f t="shared" si="0"/>
        <v>75</v>
      </c>
      <c r="E12" s="5"/>
      <c r="F12" s="5"/>
      <c r="G12" s="5"/>
      <c r="H12" s="5">
        <v>75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t="s">
        <v>158</v>
      </c>
    </row>
    <row r="13" spans="1:19">
      <c r="A13" s="3">
        <v>46114</v>
      </c>
      <c r="B13" t="s">
        <v>162</v>
      </c>
      <c r="D13" s="5">
        <f t="shared" si="0"/>
        <v>92.65</v>
      </c>
      <c r="E13" s="5">
        <v>92.65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t="s">
        <v>163</v>
      </c>
    </row>
    <row r="14" spans="1:19">
      <c r="A14" s="3">
        <v>46114</v>
      </c>
      <c r="B14" t="s">
        <v>164</v>
      </c>
      <c r="D14" s="5">
        <f t="shared" si="0"/>
        <v>319</v>
      </c>
      <c r="E14" s="5"/>
      <c r="F14" s="5"/>
      <c r="G14" s="5"/>
      <c r="H14" s="5">
        <v>319</v>
      </c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9">
      <c r="A15" s="3">
        <v>46114</v>
      </c>
      <c r="B15" t="s">
        <v>165</v>
      </c>
      <c r="D15" s="5">
        <f t="shared" si="0"/>
        <v>13.25</v>
      </c>
      <c r="E15" s="5"/>
      <c r="F15" s="5"/>
      <c r="G15" s="5"/>
      <c r="I15" s="5"/>
      <c r="J15" s="5"/>
      <c r="K15" s="5"/>
      <c r="L15" s="5"/>
      <c r="M15" s="5"/>
      <c r="N15" s="5">
        <v>13.25</v>
      </c>
      <c r="O15" s="5"/>
      <c r="P15" s="5"/>
      <c r="Q15" s="5"/>
      <c r="R15" s="5"/>
    </row>
    <row r="16" spans="1:19">
      <c r="A16" s="3">
        <v>46116</v>
      </c>
      <c r="B16" t="s">
        <v>182</v>
      </c>
      <c r="D16" s="5">
        <f t="shared" si="0"/>
        <v>52.29</v>
      </c>
      <c r="E16" s="5"/>
      <c r="F16" s="5"/>
      <c r="G16" s="5"/>
      <c r="H16" s="5"/>
      <c r="I16" s="5">
        <f>16.89+0.99+0.51</f>
        <v>18.39</v>
      </c>
      <c r="J16" s="5"/>
      <c r="K16" s="5"/>
      <c r="L16" s="5"/>
      <c r="M16" s="5">
        <v>4.5</v>
      </c>
      <c r="N16" s="5">
        <v>29.4</v>
      </c>
      <c r="O16" s="5"/>
      <c r="P16" s="5"/>
      <c r="Q16" s="5"/>
      <c r="R16" s="5"/>
    </row>
    <row r="17" spans="1:19">
      <c r="A17" s="3">
        <v>46116</v>
      </c>
      <c r="B17" s="36" t="s">
        <v>372</v>
      </c>
      <c r="C17" t="s">
        <v>195</v>
      </c>
      <c r="D17" s="5">
        <f t="shared" si="0"/>
        <v>353.66</v>
      </c>
      <c r="E17" s="5"/>
      <c r="F17" s="5"/>
      <c r="G17" s="5"/>
      <c r="H17" s="5"/>
      <c r="I17" s="5"/>
      <c r="J17" s="5"/>
      <c r="K17" s="5"/>
      <c r="L17" s="5"/>
      <c r="M17" s="5">
        <v>37.5</v>
      </c>
      <c r="N17" s="5">
        <f>14.99</f>
        <v>14.99</v>
      </c>
      <c r="O17" s="5"/>
      <c r="P17" s="37">
        <f>23.74+124.47+15.99+136.97</f>
        <v>301.17</v>
      </c>
      <c r="Q17" s="5"/>
      <c r="R17" s="5"/>
    </row>
    <row r="18" spans="1:19">
      <c r="B18" t="s">
        <v>157</v>
      </c>
      <c r="C18" t="s">
        <v>145</v>
      </c>
      <c r="D18" s="5">
        <f t="shared" si="0"/>
        <v>65</v>
      </c>
      <c r="E18" s="5"/>
      <c r="F18" s="5"/>
      <c r="G18" s="5"/>
      <c r="H18" s="5">
        <v>65</v>
      </c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9">
      <c r="B19" s="36" t="s">
        <v>372</v>
      </c>
      <c r="C19" t="s">
        <v>145</v>
      </c>
      <c r="D19" s="37">
        <f t="shared" si="0"/>
        <v>294.33999999999997</v>
      </c>
      <c r="E19" s="5"/>
      <c r="G19" s="5"/>
      <c r="I19" s="5"/>
      <c r="J19" s="5"/>
      <c r="K19" s="5"/>
      <c r="L19" s="5"/>
      <c r="M19" s="5"/>
      <c r="N19" s="5"/>
      <c r="O19" s="5"/>
      <c r="P19" s="37">
        <v>294.33999999999997</v>
      </c>
      <c r="Q19" s="5"/>
      <c r="R19" s="5"/>
      <c r="S19" t="s">
        <v>196</v>
      </c>
    </row>
    <row r="20" spans="1:19">
      <c r="A20" s="3">
        <v>46118</v>
      </c>
      <c r="B20" t="s">
        <v>188</v>
      </c>
      <c r="C20" t="s">
        <v>145</v>
      </c>
      <c r="D20" s="5">
        <f t="shared" si="0"/>
        <v>166.5</v>
      </c>
      <c r="E20" s="5"/>
      <c r="F20" s="5"/>
      <c r="G20" s="5"/>
      <c r="H20" s="5">
        <v>166.5</v>
      </c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9">
      <c r="A21" s="3">
        <v>46122</v>
      </c>
      <c r="B21" t="s">
        <v>189</v>
      </c>
      <c r="D21" s="5">
        <f t="shared" si="0"/>
        <v>178.8</v>
      </c>
      <c r="E21" s="5"/>
      <c r="F21" s="5"/>
      <c r="H21" s="5"/>
      <c r="I21" s="5"/>
      <c r="J21" s="5"/>
      <c r="K21" s="5"/>
      <c r="L21" s="5"/>
      <c r="M21" s="5"/>
      <c r="N21" s="5">
        <v>178.8</v>
      </c>
      <c r="O21" s="5"/>
      <c r="P21" s="5"/>
      <c r="Q21" s="5"/>
      <c r="R21" s="5"/>
    </row>
    <row r="22" spans="1:19">
      <c r="B22" s="36" t="s">
        <v>190</v>
      </c>
      <c r="C22" t="s">
        <v>195</v>
      </c>
      <c r="D22" s="5">
        <f t="shared" si="0"/>
        <v>2560.8000000000002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37">
        <v>2560.8000000000002</v>
      </c>
      <c r="Q22" s="5"/>
      <c r="R22" s="5"/>
      <c r="S22" t="s">
        <v>191</v>
      </c>
    </row>
    <row r="23" spans="1:19">
      <c r="A23" s="3">
        <v>46123</v>
      </c>
      <c r="B23" t="s">
        <v>257</v>
      </c>
      <c r="C23" t="s">
        <v>145</v>
      </c>
      <c r="D23" s="5">
        <f t="shared" si="0"/>
        <v>262.5</v>
      </c>
      <c r="E23" s="5">
        <v>262.5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9">
      <c r="B24" t="s">
        <v>192</v>
      </c>
      <c r="D24" s="5">
        <f t="shared" si="0"/>
        <v>11.8</v>
      </c>
      <c r="E24" s="5"/>
      <c r="F24" s="5"/>
      <c r="G24" s="5"/>
      <c r="H24" s="5"/>
      <c r="I24" s="5"/>
      <c r="J24" s="5"/>
      <c r="K24" s="5"/>
      <c r="L24" s="5"/>
      <c r="M24" s="5"/>
      <c r="N24" s="5">
        <v>11.8</v>
      </c>
      <c r="O24" s="5"/>
      <c r="P24" s="5"/>
      <c r="Q24" s="5"/>
      <c r="R24" s="5"/>
    </row>
    <row r="25" spans="1:19">
      <c r="B25" t="s">
        <v>197</v>
      </c>
      <c r="C25" t="s">
        <v>145</v>
      </c>
      <c r="D25" s="5">
        <f t="shared" si="0"/>
        <v>104.4</v>
      </c>
      <c r="E25" s="5"/>
      <c r="F25" s="5"/>
      <c r="G25" s="5"/>
      <c r="H25" s="5"/>
      <c r="I25" s="5"/>
      <c r="J25" s="5"/>
      <c r="K25" s="5"/>
      <c r="L25" s="5"/>
      <c r="M25" s="5"/>
      <c r="N25" s="5">
        <v>104.4</v>
      </c>
      <c r="O25" s="5"/>
      <c r="P25" s="5"/>
      <c r="Q25" s="5"/>
      <c r="R25" s="5"/>
    </row>
    <row r="26" spans="1:19">
      <c r="B26" t="s">
        <v>197</v>
      </c>
      <c r="C26" t="s">
        <v>145</v>
      </c>
      <c r="D26" s="5">
        <f t="shared" si="0"/>
        <v>104.4</v>
      </c>
      <c r="E26" s="5"/>
      <c r="F26" s="5"/>
      <c r="G26" s="5"/>
      <c r="H26" s="5"/>
      <c r="I26" s="5"/>
      <c r="J26" s="5"/>
      <c r="K26" s="5"/>
      <c r="L26" s="5"/>
      <c r="M26" s="5"/>
      <c r="N26" s="5">
        <v>104.4</v>
      </c>
      <c r="O26" s="5"/>
      <c r="P26" s="5"/>
      <c r="Q26" s="5"/>
      <c r="R26" s="5"/>
    </row>
    <row r="27" spans="1:19">
      <c r="A27" s="3">
        <v>46127</v>
      </c>
      <c r="B27" t="s">
        <v>198</v>
      </c>
      <c r="C27" t="s">
        <v>145</v>
      </c>
      <c r="D27" s="5">
        <f t="shared" si="0"/>
        <v>128.57</v>
      </c>
      <c r="E27" s="5"/>
      <c r="F27" s="5"/>
      <c r="G27" s="5"/>
      <c r="H27" s="5">
        <v>128.57</v>
      </c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>
      <c r="A28" s="3">
        <v>46130</v>
      </c>
      <c r="B28" s="36" t="s">
        <v>199</v>
      </c>
      <c r="C28" t="s">
        <v>145</v>
      </c>
      <c r="D28" s="37">
        <f t="shared" si="0"/>
        <v>421.2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37">
        <v>421.2</v>
      </c>
      <c r="Q28" s="5"/>
      <c r="R28" s="5"/>
      <c r="S28" t="s">
        <v>200</v>
      </c>
    </row>
    <row r="29" spans="1:19">
      <c r="B29" t="s">
        <v>182</v>
      </c>
      <c r="C29" t="s">
        <v>145</v>
      </c>
      <c r="D29" s="5">
        <f t="shared" si="0"/>
        <v>77.58</v>
      </c>
      <c r="E29" s="5"/>
      <c r="F29" s="5"/>
      <c r="G29" s="5"/>
      <c r="H29" s="5"/>
      <c r="I29" s="5">
        <f>0.31</f>
        <v>0.31</v>
      </c>
      <c r="J29" s="5"/>
      <c r="K29" s="5"/>
      <c r="L29" s="5"/>
      <c r="M29" s="5"/>
      <c r="N29" s="5">
        <v>77.27</v>
      </c>
      <c r="O29" s="5"/>
      <c r="P29" s="5"/>
      <c r="Q29" s="5"/>
      <c r="R29" s="5"/>
    </row>
    <row r="30" spans="1:19">
      <c r="A30" s="3">
        <v>46131</v>
      </c>
      <c r="B30" t="s">
        <v>146</v>
      </c>
      <c r="D30" s="5">
        <f t="shared" si="0"/>
        <v>42.8</v>
      </c>
      <c r="E30" s="5"/>
      <c r="F30" s="5"/>
      <c r="G30" s="5">
        <v>42.8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9">
      <c r="B31" t="s">
        <v>157</v>
      </c>
      <c r="D31" s="5">
        <f t="shared" si="0"/>
        <v>160</v>
      </c>
      <c r="E31" s="5"/>
      <c r="F31" s="5"/>
      <c r="G31" s="5"/>
      <c r="H31" s="5">
        <v>160</v>
      </c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9">
      <c r="A32" s="3">
        <v>46136</v>
      </c>
      <c r="B32" t="s">
        <v>182</v>
      </c>
      <c r="C32" t="s">
        <v>145</v>
      </c>
      <c r="D32" s="5">
        <f t="shared" si="0"/>
        <v>51.1</v>
      </c>
      <c r="E32" s="5"/>
      <c r="F32" s="5"/>
      <c r="G32" s="5"/>
      <c r="H32" s="5"/>
      <c r="I32" s="5">
        <v>51.1</v>
      </c>
      <c r="J32" s="5"/>
      <c r="K32" s="5"/>
      <c r="L32" s="5"/>
      <c r="M32" s="5"/>
      <c r="N32" s="5"/>
      <c r="O32" s="5"/>
      <c r="P32" s="5"/>
      <c r="Q32" s="5"/>
      <c r="R32" s="5"/>
    </row>
    <row r="33" spans="1:19">
      <c r="A33" s="3">
        <v>46137</v>
      </c>
      <c r="B33" t="s">
        <v>203</v>
      </c>
      <c r="D33" s="5">
        <f t="shared" si="0"/>
        <v>2041.38</v>
      </c>
      <c r="E33" s="5">
        <v>2041.38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t="s">
        <v>204</v>
      </c>
    </row>
    <row r="34" spans="1:19">
      <c r="A34" s="3">
        <v>46141</v>
      </c>
      <c r="B34" t="s">
        <v>157</v>
      </c>
      <c r="D34" s="5">
        <f t="shared" si="0"/>
        <v>65</v>
      </c>
      <c r="E34" s="5"/>
      <c r="F34" s="5"/>
      <c r="G34" s="5"/>
      <c r="H34" s="5">
        <v>65</v>
      </c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9">
      <c r="B35" t="s">
        <v>208</v>
      </c>
      <c r="D35" s="5">
        <f t="shared" si="0"/>
        <v>810.42</v>
      </c>
      <c r="E35" s="5">
        <v>810.42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9">
      <c r="B36" t="s">
        <v>185</v>
      </c>
      <c r="D36" s="5">
        <f t="shared" ref="D36:D67" si="1">SUM(E36:R36)</f>
        <v>1143.8399999999999</v>
      </c>
      <c r="E36" s="5">
        <v>1143.8399999999999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9">
      <c r="B37" t="s">
        <v>209</v>
      </c>
      <c r="D37" s="5">
        <f t="shared" si="1"/>
        <v>1726.97</v>
      </c>
      <c r="E37" s="5">
        <v>1726.97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9">
      <c r="B38" t="s">
        <v>197</v>
      </c>
      <c r="D38" s="5">
        <f t="shared" si="1"/>
        <v>104.4</v>
      </c>
      <c r="E38" s="5"/>
      <c r="F38" s="5"/>
      <c r="G38" s="5"/>
      <c r="H38" s="5"/>
      <c r="I38" s="5"/>
      <c r="J38" s="5"/>
      <c r="K38" s="5"/>
      <c r="L38" s="5"/>
      <c r="M38" s="5"/>
      <c r="N38" s="5">
        <v>104.4</v>
      </c>
      <c r="O38" s="5"/>
      <c r="P38" s="5"/>
      <c r="Q38" s="5"/>
      <c r="R38" s="5"/>
    </row>
    <row r="39" spans="1:19">
      <c r="B39" t="s">
        <v>197</v>
      </c>
      <c r="D39" s="5">
        <f t="shared" si="1"/>
        <v>104.4</v>
      </c>
      <c r="E39" s="5"/>
      <c r="F39" s="5"/>
      <c r="G39" s="5"/>
      <c r="H39" s="5"/>
      <c r="I39" s="5"/>
      <c r="J39" s="5"/>
      <c r="K39" s="5"/>
      <c r="L39" s="5"/>
      <c r="M39" s="5"/>
      <c r="N39" s="5">
        <v>104.4</v>
      </c>
      <c r="O39" s="5"/>
      <c r="P39" s="5"/>
      <c r="Q39" s="5"/>
      <c r="R39" s="5"/>
    </row>
    <row r="40" spans="1:19">
      <c r="B40" t="s">
        <v>162</v>
      </c>
      <c r="D40" s="5">
        <f t="shared" si="1"/>
        <v>92.65</v>
      </c>
      <c r="E40" s="5">
        <v>92.65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9">
      <c r="A41" s="3">
        <v>46143</v>
      </c>
      <c r="B41" t="s">
        <v>164</v>
      </c>
      <c r="D41" s="5">
        <f t="shared" si="1"/>
        <v>319</v>
      </c>
      <c r="E41" s="5"/>
      <c r="F41" s="5"/>
      <c r="G41" s="5"/>
      <c r="H41" s="5">
        <v>319</v>
      </c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9">
      <c r="B42" t="s">
        <v>198</v>
      </c>
      <c r="D42" s="5">
        <f t="shared" si="1"/>
        <v>112.04</v>
      </c>
      <c r="E42" s="5"/>
      <c r="F42" s="5"/>
      <c r="G42" s="5"/>
      <c r="H42" s="5">
        <v>112.04</v>
      </c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9">
      <c r="B43" t="s">
        <v>165</v>
      </c>
      <c r="D43" s="5">
        <f t="shared" si="1"/>
        <v>13.25</v>
      </c>
      <c r="E43" s="5"/>
      <c r="F43" s="5"/>
      <c r="G43" s="5"/>
      <c r="I43" s="5"/>
      <c r="J43" s="5"/>
      <c r="K43" s="5"/>
      <c r="L43" s="5"/>
      <c r="M43" s="5"/>
      <c r="N43" s="5">
        <v>13.25</v>
      </c>
      <c r="O43" s="5"/>
      <c r="P43" s="5"/>
      <c r="Q43" s="5"/>
      <c r="R43" s="5"/>
    </row>
    <row r="44" spans="1:19">
      <c r="A44" s="3">
        <v>46144</v>
      </c>
      <c r="B44" t="s">
        <v>182</v>
      </c>
      <c r="D44" s="5">
        <f t="shared" si="1"/>
        <v>55.23</v>
      </c>
      <c r="E44" s="5"/>
      <c r="F44" s="5"/>
      <c r="G44" s="5"/>
      <c r="H44" s="5"/>
      <c r="I44" s="5">
        <v>55.23</v>
      </c>
      <c r="J44" s="5"/>
      <c r="K44" s="5"/>
      <c r="L44" s="5"/>
      <c r="M44" s="5"/>
      <c r="N44" s="5" t="s">
        <v>213</v>
      </c>
      <c r="O44" s="5"/>
      <c r="P44" s="5"/>
      <c r="Q44" s="5"/>
      <c r="R44" s="5"/>
    </row>
    <row r="45" spans="1:19">
      <c r="A45" s="3">
        <v>46148</v>
      </c>
      <c r="B45" t="s">
        <v>157</v>
      </c>
      <c r="D45" s="5">
        <f t="shared" si="1"/>
        <v>75</v>
      </c>
      <c r="E45" s="5"/>
      <c r="F45" s="5"/>
      <c r="G45" s="5"/>
      <c r="H45" s="5">
        <v>75</v>
      </c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9">
      <c r="A46" s="3">
        <v>46151</v>
      </c>
      <c r="B46" t="s">
        <v>182</v>
      </c>
      <c r="D46" s="5">
        <f t="shared" si="1"/>
        <v>91.27</v>
      </c>
      <c r="E46" s="5"/>
      <c r="F46" s="5"/>
      <c r="G46" s="5"/>
      <c r="H46" s="5"/>
      <c r="I46" s="5">
        <f>54.94-5.48+3.95</f>
        <v>53.41</v>
      </c>
      <c r="J46" s="5"/>
      <c r="K46" s="5"/>
      <c r="L46" s="5"/>
      <c r="M46" s="5">
        <v>27.7</v>
      </c>
      <c r="N46" s="5">
        <v>10.16</v>
      </c>
      <c r="O46" s="5"/>
      <c r="P46" s="5"/>
      <c r="Q46" s="5"/>
      <c r="R46" s="5"/>
    </row>
    <row r="47" spans="1:19">
      <c r="A47" s="3">
        <v>46152</v>
      </c>
      <c r="B47" t="s">
        <v>258</v>
      </c>
      <c r="D47" s="5">
        <f t="shared" si="1"/>
        <v>262.5</v>
      </c>
      <c r="E47" s="5">
        <v>262.5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9">
      <c r="A48" s="3">
        <v>46158</v>
      </c>
      <c r="B48" t="s">
        <v>182</v>
      </c>
      <c r="D48" s="5">
        <f t="shared" si="1"/>
        <v>41.760000000000005</v>
      </c>
      <c r="E48" s="5"/>
      <c r="F48" s="5"/>
      <c r="G48" s="5"/>
      <c r="H48" s="5"/>
      <c r="I48" s="5">
        <f>25.42+2.94</f>
        <v>28.360000000000003</v>
      </c>
      <c r="J48" s="5"/>
      <c r="K48" s="5"/>
      <c r="L48" s="5"/>
      <c r="M48" s="5">
        <f>7.15</f>
        <v>7.15</v>
      </c>
      <c r="N48" s="5">
        <v>6.25</v>
      </c>
      <c r="O48" s="5"/>
      <c r="P48" s="5"/>
      <c r="Q48" s="5"/>
      <c r="R48" s="5"/>
    </row>
    <row r="49" spans="1:19">
      <c r="A49" s="3">
        <v>46161</v>
      </c>
      <c r="B49" t="s">
        <v>157</v>
      </c>
      <c r="D49" s="5">
        <f t="shared" si="1"/>
        <v>110</v>
      </c>
      <c r="E49" s="5"/>
      <c r="F49" s="5"/>
      <c r="G49" s="5"/>
      <c r="H49" s="5">
        <v>110</v>
      </c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9">
      <c r="B50" s="36" t="s">
        <v>373</v>
      </c>
      <c r="D50" s="37">
        <f t="shared" si="1"/>
        <v>90.69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7">
        <v>90.69</v>
      </c>
      <c r="Q50" s="5"/>
      <c r="R50" s="5"/>
    </row>
    <row r="51" spans="1:19">
      <c r="B51" t="s">
        <v>215</v>
      </c>
      <c r="C51" t="s">
        <v>219</v>
      </c>
      <c r="D51" s="5">
        <f t="shared" si="1"/>
        <v>226.18</v>
      </c>
      <c r="E51" s="5"/>
      <c r="F51" s="5"/>
      <c r="G51" s="5"/>
      <c r="H51" s="5">
        <v>226.18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t="s">
        <v>216</v>
      </c>
    </row>
    <row r="52" spans="1:19">
      <c r="A52" s="3">
        <v>46163</v>
      </c>
      <c r="B52" t="s">
        <v>146</v>
      </c>
      <c r="D52" s="5">
        <f t="shared" si="1"/>
        <v>42.8</v>
      </c>
      <c r="E52" s="5"/>
      <c r="F52" s="5"/>
      <c r="G52" s="5">
        <v>42.8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9">
      <c r="A53" s="3">
        <v>46165</v>
      </c>
      <c r="B53" t="s">
        <v>182</v>
      </c>
      <c r="C53" t="s">
        <v>195</v>
      </c>
      <c r="D53" s="5">
        <f t="shared" si="1"/>
        <v>54.730000000000004</v>
      </c>
      <c r="E53" s="5"/>
      <c r="F53" s="5"/>
      <c r="G53" s="5"/>
      <c r="H53" s="5"/>
      <c r="I53" s="5">
        <f>58.59-3.86</f>
        <v>54.730000000000004</v>
      </c>
      <c r="J53" s="5"/>
      <c r="K53" s="5"/>
      <c r="L53" s="5"/>
      <c r="M53" s="5"/>
      <c r="N53" s="5"/>
      <c r="O53" s="5"/>
      <c r="P53" s="5"/>
      <c r="Q53" s="5"/>
      <c r="R53" s="5"/>
    </row>
    <row r="54" spans="1:19">
      <c r="A54" s="3">
        <v>46169</v>
      </c>
      <c r="B54" t="s">
        <v>218</v>
      </c>
      <c r="C54" t="s">
        <v>145</v>
      </c>
      <c r="D54" s="5">
        <f t="shared" si="1"/>
        <v>2167.58</v>
      </c>
      <c r="E54" s="5"/>
      <c r="F54" s="5"/>
      <c r="G54" s="5">
        <v>108</v>
      </c>
      <c r="H54" s="5">
        <f>2167.58-108</f>
        <v>2059.58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t="s">
        <v>221</v>
      </c>
    </row>
    <row r="55" spans="1:19">
      <c r="B55" t="s">
        <v>218</v>
      </c>
      <c r="C55" t="s">
        <v>145</v>
      </c>
      <c r="D55" s="5">
        <f t="shared" si="1"/>
        <v>80</v>
      </c>
      <c r="E55" s="5"/>
      <c r="F55" s="5"/>
      <c r="G55" s="5">
        <v>80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9">
      <c r="B56" t="s">
        <v>157</v>
      </c>
      <c r="D56" s="5">
        <f t="shared" si="1"/>
        <v>93.75</v>
      </c>
      <c r="E56" s="5"/>
      <c r="F56" s="5"/>
      <c r="G56" s="5"/>
      <c r="H56" s="5">
        <v>93.75</v>
      </c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9">
      <c r="B57" t="s">
        <v>220</v>
      </c>
      <c r="D57" s="5">
        <f t="shared" si="1"/>
        <v>2160</v>
      </c>
      <c r="E57" s="5"/>
      <c r="F57" s="5"/>
      <c r="G57" s="5"/>
      <c r="H57" s="5"/>
      <c r="I57" s="5"/>
      <c r="J57" s="5"/>
      <c r="K57" s="5">
        <v>2160</v>
      </c>
      <c r="L57" s="5"/>
      <c r="M57" s="5"/>
      <c r="N57" s="5"/>
      <c r="O57" s="5"/>
      <c r="P57" s="5"/>
      <c r="Q57" s="5"/>
      <c r="R57" s="5"/>
      <c r="S57" t="s">
        <v>222</v>
      </c>
    </row>
    <row r="58" spans="1:19">
      <c r="A58" s="3">
        <v>46172</v>
      </c>
      <c r="B58" t="s">
        <v>162</v>
      </c>
      <c r="D58" s="5">
        <f t="shared" si="1"/>
        <v>92.65</v>
      </c>
      <c r="E58" s="5">
        <v>92.65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9">
      <c r="B59" t="s">
        <v>197</v>
      </c>
      <c r="C59" t="s">
        <v>195</v>
      </c>
      <c r="D59" s="5">
        <f t="shared" si="1"/>
        <v>104.4</v>
      </c>
      <c r="E59" s="5"/>
      <c r="F59" s="5"/>
      <c r="G59" s="5"/>
      <c r="H59" s="5"/>
      <c r="I59" s="5"/>
      <c r="J59" s="5"/>
      <c r="K59" s="5"/>
      <c r="L59" s="5"/>
      <c r="M59" s="5"/>
      <c r="N59" s="5">
        <v>104.4</v>
      </c>
      <c r="O59" s="5"/>
      <c r="P59" s="5"/>
      <c r="Q59" s="5"/>
      <c r="R59" s="5"/>
    </row>
    <row r="60" spans="1:19">
      <c r="B60" t="s">
        <v>197</v>
      </c>
      <c r="C60" t="s">
        <v>195</v>
      </c>
      <c r="D60" s="5">
        <f t="shared" si="1"/>
        <v>104.4</v>
      </c>
      <c r="E60" s="5"/>
      <c r="F60" s="5"/>
      <c r="G60" s="5"/>
      <c r="H60" s="5"/>
      <c r="I60" s="5"/>
      <c r="J60" s="5"/>
      <c r="K60" s="5"/>
      <c r="L60" s="5"/>
      <c r="M60" s="5"/>
      <c r="N60" s="5">
        <v>104.4</v>
      </c>
      <c r="O60" s="5"/>
      <c r="P60" s="5"/>
      <c r="Q60" s="5"/>
      <c r="R60" s="5"/>
    </row>
    <row r="61" spans="1:19">
      <c r="B61" t="s">
        <v>182</v>
      </c>
      <c r="C61" t="s">
        <v>195</v>
      </c>
      <c r="D61" s="5">
        <f t="shared" si="1"/>
        <v>56.26</v>
      </c>
      <c r="E61" s="5"/>
      <c r="F61" s="5"/>
      <c r="G61" s="5"/>
      <c r="H61" s="5"/>
      <c r="I61" s="5">
        <f>7.4+3.94</f>
        <v>11.34</v>
      </c>
      <c r="J61" s="5"/>
      <c r="K61" s="5"/>
      <c r="L61" s="5"/>
      <c r="M61" s="5">
        <f>18.59</f>
        <v>18.59</v>
      </c>
      <c r="N61" s="5">
        <v>26.33</v>
      </c>
      <c r="O61" s="5"/>
      <c r="P61" s="5"/>
      <c r="Q61" s="5"/>
      <c r="R61" s="5"/>
    </row>
    <row r="62" spans="1:19">
      <c r="A62" s="3">
        <v>46173</v>
      </c>
      <c r="B62" t="s">
        <v>185</v>
      </c>
      <c r="D62" s="5">
        <f t="shared" si="1"/>
        <v>1143.8399999999999</v>
      </c>
      <c r="E62" s="5">
        <v>1143.8399999999999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9">
      <c r="A63" s="3"/>
      <c r="B63" t="s">
        <v>208</v>
      </c>
      <c r="D63" s="5">
        <f t="shared" si="1"/>
        <v>810.42</v>
      </c>
      <c r="E63" s="5">
        <v>810.42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9">
      <c r="B64" t="s">
        <v>209</v>
      </c>
      <c r="D64" s="5">
        <f t="shared" si="1"/>
        <v>1726.97</v>
      </c>
      <c r="E64" s="5">
        <v>1726.97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9">
      <c r="B65" t="s">
        <v>157</v>
      </c>
      <c r="D65" s="5">
        <f t="shared" si="1"/>
        <v>118.75</v>
      </c>
      <c r="E65" s="5"/>
      <c r="F65" s="5"/>
      <c r="G65" s="5"/>
      <c r="H65" s="5">
        <v>118.75</v>
      </c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9">
      <c r="B66" t="s">
        <v>223</v>
      </c>
      <c r="D66" s="5">
        <f t="shared" si="1"/>
        <v>50</v>
      </c>
      <c r="E66" s="5"/>
      <c r="F66" s="5"/>
      <c r="G66" s="5"/>
      <c r="H66" s="5"/>
      <c r="I66" s="5"/>
      <c r="J66" s="5"/>
      <c r="K66" s="5"/>
      <c r="L66" s="5"/>
      <c r="M66" s="5"/>
      <c r="N66" s="5">
        <v>50</v>
      </c>
      <c r="O66" s="5"/>
      <c r="P66" s="5"/>
      <c r="Q66" s="5"/>
      <c r="R66" s="5"/>
    </row>
    <row r="67" spans="1:19">
      <c r="A67" s="3">
        <v>46176</v>
      </c>
      <c r="B67" t="s">
        <v>165</v>
      </c>
      <c r="D67" s="5">
        <f t="shared" si="1"/>
        <v>13.25</v>
      </c>
      <c r="E67" s="5"/>
      <c r="F67" s="5"/>
      <c r="G67" s="5"/>
      <c r="I67" s="5"/>
      <c r="J67" s="5"/>
      <c r="K67" s="5"/>
      <c r="L67" s="5"/>
      <c r="M67" s="5"/>
      <c r="N67" s="5">
        <v>13.25</v>
      </c>
      <c r="O67" s="5"/>
      <c r="P67" s="5"/>
      <c r="Q67" s="5"/>
      <c r="R67" s="5"/>
    </row>
    <row r="68" spans="1:19">
      <c r="B68" t="s">
        <v>224</v>
      </c>
      <c r="D68" s="5">
        <f t="shared" ref="D68:D96" si="2">SUM(E68:R68)</f>
        <v>319</v>
      </c>
      <c r="E68" s="5"/>
      <c r="F68" s="5"/>
      <c r="G68" s="5"/>
      <c r="H68" s="5">
        <v>319</v>
      </c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9">
      <c r="B69" t="s">
        <v>259</v>
      </c>
      <c r="D69" s="5">
        <f t="shared" si="2"/>
        <v>262.5</v>
      </c>
      <c r="E69" s="5">
        <v>262.5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9">
      <c r="A70" s="3">
        <v>46179</v>
      </c>
      <c r="B70" t="s">
        <v>182</v>
      </c>
      <c r="D70" s="5">
        <f t="shared" si="2"/>
        <v>51.25</v>
      </c>
      <c r="E70" s="5"/>
      <c r="F70" s="5"/>
      <c r="G70" s="5"/>
      <c r="H70" s="5"/>
      <c r="I70" s="5">
        <f>23.36+3.89</f>
        <v>27.25</v>
      </c>
      <c r="J70" s="5"/>
      <c r="K70" s="5"/>
      <c r="L70" s="5"/>
      <c r="M70" s="5"/>
      <c r="N70" s="5">
        <v>24</v>
      </c>
      <c r="O70" s="5"/>
      <c r="P70" s="5"/>
      <c r="Q70" s="5"/>
      <c r="R70" s="5"/>
    </row>
    <row r="71" spans="1:19">
      <c r="A71" s="3">
        <v>46183</v>
      </c>
      <c r="B71" s="36" t="s">
        <v>226</v>
      </c>
      <c r="D71" s="37">
        <f t="shared" si="2"/>
        <v>88.8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37">
        <v>88.8</v>
      </c>
      <c r="Q71" s="5"/>
      <c r="R71" s="5"/>
    </row>
    <row r="72" spans="1:19">
      <c r="A72" s="3">
        <v>46184</v>
      </c>
      <c r="B72" t="s">
        <v>182</v>
      </c>
      <c r="D72" s="5">
        <f t="shared" si="2"/>
        <v>3.95</v>
      </c>
      <c r="E72" s="5"/>
      <c r="F72" s="5"/>
      <c r="G72" s="5">
        <v>3.95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9">
      <c r="A73" s="3">
        <v>46186</v>
      </c>
      <c r="B73" s="36" t="s">
        <v>227</v>
      </c>
      <c r="D73" s="37">
        <f t="shared" si="2"/>
        <v>584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37">
        <v>584</v>
      </c>
      <c r="Q73" s="5"/>
      <c r="R73" s="5"/>
      <c r="S73" t="s">
        <v>228</v>
      </c>
    </row>
    <row r="74" spans="1:19">
      <c r="A74" s="3">
        <v>46186</v>
      </c>
      <c r="B74" t="s">
        <v>157</v>
      </c>
      <c r="D74" s="5">
        <f t="shared" si="2"/>
        <v>181.25</v>
      </c>
      <c r="E74" s="5"/>
      <c r="F74" s="5"/>
      <c r="G74" s="5"/>
      <c r="H74" s="5">
        <v>181.25</v>
      </c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9">
      <c r="A75" s="3">
        <v>46187</v>
      </c>
      <c r="B75" t="s">
        <v>182</v>
      </c>
      <c r="D75" s="5">
        <f t="shared" si="2"/>
        <v>47.699999999999996</v>
      </c>
      <c r="E75" s="5"/>
      <c r="F75" s="5"/>
      <c r="G75" s="5"/>
      <c r="H75" s="5"/>
      <c r="I75" s="5">
        <f>30.43+1.65+0.11-18</f>
        <v>14.189999999999998</v>
      </c>
      <c r="J75" s="5"/>
      <c r="K75" s="5"/>
      <c r="L75" s="5"/>
      <c r="M75" s="5">
        <v>15.51</v>
      </c>
      <c r="N75" s="5">
        <v>18</v>
      </c>
      <c r="O75" s="5"/>
      <c r="P75" s="5"/>
      <c r="Q75" s="5"/>
      <c r="R75" s="5"/>
    </row>
    <row r="76" spans="1:19">
      <c r="A76" s="3">
        <v>46190</v>
      </c>
      <c r="B76" t="s">
        <v>198</v>
      </c>
      <c r="D76" s="5">
        <f t="shared" si="2"/>
        <v>133.04</v>
      </c>
      <c r="E76" s="5"/>
      <c r="F76" s="5"/>
      <c r="G76" s="5"/>
      <c r="H76" s="5">
        <v>133.04</v>
      </c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9">
      <c r="A77" s="3">
        <v>46192</v>
      </c>
      <c r="B77" t="s">
        <v>146</v>
      </c>
      <c r="D77" s="5">
        <f t="shared" si="2"/>
        <v>42.8</v>
      </c>
      <c r="E77" s="5"/>
      <c r="F77" s="5"/>
      <c r="G77" s="5">
        <v>42.8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9">
      <c r="A78" s="3">
        <v>46194</v>
      </c>
      <c r="B78" t="s">
        <v>229</v>
      </c>
      <c r="D78" s="5">
        <f t="shared" si="2"/>
        <v>259.2</v>
      </c>
      <c r="E78" s="5"/>
      <c r="F78" s="5"/>
      <c r="G78" s="5"/>
      <c r="H78" s="5">
        <v>259.2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t="s">
        <v>243</v>
      </c>
    </row>
    <row r="79" spans="1:19">
      <c r="B79" t="s">
        <v>157</v>
      </c>
      <c r="D79" s="5">
        <f t="shared" si="2"/>
        <v>81.25</v>
      </c>
      <c r="E79" s="5"/>
      <c r="F79" s="5"/>
      <c r="G79" s="5"/>
      <c r="H79" s="5">
        <v>81.25</v>
      </c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9">
      <c r="A80" s="3">
        <v>46200</v>
      </c>
      <c r="B80" t="s">
        <v>147</v>
      </c>
      <c r="D80" s="5">
        <f t="shared" si="2"/>
        <v>16.73</v>
      </c>
      <c r="E80" s="5"/>
      <c r="F80" s="5"/>
      <c r="G80" s="5"/>
      <c r="H80" s="5"/>
      <c r="I80" s="5">
        <v>16.73</v>
      </c>
      <c r="J80" s="5"/>
      <c r="K80" s="5"/>
      <c r="L80" s="5"/>
      <c r="M80" s="5"/>
      <c r="N80" s="5"/>
      <c r="O80" s="5"/>
      <c r="P80" s="5"/>
      <c r="Q80" s="5"/>
      <c r="R80" s="5"/>
    </row>
    <row r="81" spans="1:19">
      <c r="A81" s="3">
        <v>46203</v>
      </c>
      <c r="B81" t="s">
        <v>185</v>
      </c>
      <c r="D81" s="5">
        <f t="shared" si="2"/>
        <v>1143.8399999999999</v>
      </c>
      <c r="E81" s="5">
        <v>1143.8399999999999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9">
      <c r="B82" t="s">
        <v>209</v>
      </c>
      <c r="D82" s="5">
        <f t="shared" si="2"/>
        <v>1726.97</v>
      </c>
      <c r="E82" s="5">
        <v>1726.97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9">
      <c r="A83" s="3">
        <v>46204</v>
      </c>
      <c r="B83" t="s">
        <v>185</v>
      </c>
      <c r="D83" s="5">
        <f>SUM(E83:R83)</f>
        <v>1143.8399999999999</v>
      </c>
      <c r="E83" s="5">
        <v>1143.8399999999999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9">
      <c r="B84" t="s">
        <v>209</v>
      </c>
      <c r="D84" s="5">
        <f>SUM(E84:R84)</f>
        <v>1726.97</v>
      </c>
      <c r="E84" s="5">
        <v>1726.97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9">
      <c r="B85" t="s">
        <v>208</v>
      </c>
      <c r="D85" s="5">
        <f t="shared" si="2"/>
        <v>677.3</v>
      </c>
      <c r="E85" s="5">
        <v>677.3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9">
      <c r="B86" t="s">
        <v>198</v>
      </c>
      <c r="D86" s="5">
        <f t="shared" si="2"/>
        <v>47.41</v>
      </c>
      <c r="E86" s="5"/>
      <c r="F86" s="5"/>
      <c r="G86" s="5"/>
      <c r="H86" s="5">
        <v>47.41</v>
      </c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9">
      <c r="B87" t="s">
        <v>162</v>
      </c>
      <c r="D87" s="5">
        <f t="shared" si="2"/>
        <v>92.65</v>
      </c>
      <c r="E87" s="5">
        <v>92.65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9">
      <c r="B88" t="s">
        <v>165</v>
      </c>
      <c r="D88" s="5">
        <f t="shared" si="2"/>
        <v>13.25</v>
      </c>
      <c r="E88" s="5"/>
      <c r="F88" s="5"/>
      <c r="G88" s="5"/>
      <c r="I88" s="5"/>
      <c r="J88" s="5"/>
      <c r="K88" s="5"/>
      <c r="L88" s="5"/>
      <c r="M88" s="5"/>
      <c r="N88" s="5">
        <v>13.25</v>
      </c>
      <c r="O88" s="5"/>
      <c r="P88" s="5"/>
      <c r="Q88" s="5"/>
      <c r="R88" s="5"/>
    </row>
    <row r="89" spans="1:19">
      <c r="B89" t="s">
        <v>164</v>
      </c>
      <c r="D89" s="5">
        <f t="shared" si="2"/>
        <v>319</v>
      </c>
      <c r="E89" s="5"/>
      <c r="F89" s="5"/>
      <c r="G89" s="5"/>
      <c r="H89" s="5">
        <v>319</v>
      </c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9">
      <c r="B90" t="s">
        <v>231</v>
      </c>
      <c r="D90" s="5">
        <f t="shared" si="2"/>
        <v>16.5</v>
      </c>
      <c r="E90" s="5"/>
      <c r="F90" s="5"/>
      <c r="G90" s="5">
        <v>16.5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9">
      <c r="B91" t="s">
        <v>197</v>
      </c>
      <c r="D91" s="5">
        <f t="shared" si="2"/>
        <v>104.4</v>
      </c>
      <c r="E91" s="5"/>
      <c r="F91" s="5"/>
      <c r="G91" s="5"/>
      <c r="H91" s="5"/>
      <c r="I91" s="5"/>
      <c r="J91" s="5"/>
      <c r="K91" s="5"/>
      <c r="L91" s="5"/>
      <c r="M91" s="5"/>
      <c r="N91" s="5">
        <v>104.4</v>
      </c>
      <c r="O91" s="5"/>
      <c r="P91" s="5"/>
      <c r="Q91" s="5"/>
      <c r="R91" s="5"/>
    </row>
    <row r="92" spans="1:19">
      <c r="A92" s="3">
        <v>46208</v>
      </c>
      <c r="B92" t="s">
        <v>182</v>
      </c>
      <c r="D92" s="5">
        <f t="shared" si="2"/>
        <v>51.76</v>
      </c>
      <c r="E92" s="5"/>
      <c r="F92" s="5"/>
      <c r="G92" s="5"/>
      <c r="H92" s="5"/>
      <c r="I92" s="5">
        <f>14.83+2.24+29.4+5.29</f>
        <v>51.76</v>
      </c>
      <c r="J92" s="5"/>
      <c r="K92" s="5"/>
      <c r="L92" s="5"/>
      <c r="M92" s="5"/>
      <c r="N92" s="5"/>
      <c r="O92" s="5"/>
      <c r="P92" s="5"/>
      <c r="Q92" s="5"/>
      <c r="R92" s="5"/>
    </row>
    <row r="93" spans="1:19">
      <c r="B93" t="s">
        <v>157</v>
      </c>
      <c r="D93" s="5">
        <f t="shared" si="2"/>
        <v>175</v>
      </c>
      <c r="E93" s="5"/>
      <c r="F93" s="5"/>
      <c r="G93" s="5"/>
      <c r="H93" s="5">
        <v>175</v>
      </c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9">
      <c r="B94" t="s">
        <v>198</v>
      </c>
      <c r="D94" s="5">
        <f t="shared" si="2"/>
        <v>91.5</v>
      </c>
      <c r="E94" s="5"/>
      <c r="F94" s="5"/>
      <c r="G94" s="5"/>
      <c r="H94" s="5">
        <v>91.5</v>
      </c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9">
      <c r="B95" t="s">
        <v>233</v>
      </c>
      <c r="D95" s="5">
        <f t="shared" si="2"/>
        <v>60</v>
      </c>
      <c r="E95" s="5"/>
      <c r="F95" s="5"/>
      <c r="G95" s="5"/>
      <c r="H95" s="5"/>
      <c r="I95" s="5">
        <v>60</v>
      </c>
      <c r="J95" s="5"/>
      <c r="K95" s="5"/>
      <c r="L95" s="5"/>
      <c r="M95" s="5"/>
      <c r="N95" s="5"/>
      <c r="O95" s="5"/>
      <c r="P95" s="5"/>
      <c r="Q95" s="5"/>
      <c r="R95" s="5"/>
    </row>
    <row r="96" spans="1:19">
      <c r="B96" s="36" t="s">
        <v>234</v>
      </c>
      <c r="D96" s="37">
        <f t="shared" si="2"/>
        <v>20295.490000000002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37">
        <v>20295.490000000002</v>
      </c>
      <c r="Q96" s="5"/>
      <c r="R96" s="5"/>
      <c r="S96" s="6" t="s">
        <v>237</v>
      </c>
    </row>
    <row r="97" spans="1:19">
      <c r="B97" t="s">
        <v>185</v>
      </c>
      <c r="D97" s="5">
        <f>SUM(E97:R97)</f>
        <v>-1143.8399999999999</v>
      </c>
      <c r="E97" s="5">
        <v>-1143.8399999999999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9">
      <c r="A98" s="3">
        <v>46211</v>
      </c>
      <c r="B98" t="s">
        <v>209</v>
      </c>
      <c r="D98" s="5">
        <f>SUM(E98:R98)</f>
        <v>-1726.97</v>
      </c>
      <c r="E98" s="5">
        <v>-1726.97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9">
      <c r="B99" t="s">
        <v>182</v>
      </c>
      <c r="D99" s="5">
        <f t="shared" ref="D99:D130" si="3">SUM(E99:R99)</f>
        <v>3.95</v>
      </c>
      <c r="E99" s="5"/>
      <c r="F99" s="5"/>
      <c r="G99" s="5"/>
      <c r="H99" s="5"/>
      <c r="I99" s="5">
        <v>3.95</v>
      </c>
      <c r="J99" s="5"/>
      <c r="K99" s="5"/>
      <c r="L99" s="5"/>
      <c r="M99" s="5"/>
      <c r="N99" s="5"/>
      <c r="O99" s="5"/>
      <c r="P99" s="5"/>
      <c r="Q99" s="5"/>
      <c r="R99" s="5"/>
    </row>
    <row r="100" spans="1:19">
      <c r="A100" s="3">
        <v>46214</v>
      </c>
      <c r="B100" t="s">
        <v>147</v>
      </c>
      <c r="D100" s="5">
        <f t="shared" si="3"/>
        <v>14.93</v>
      </c>
      <c r="E100" s="5"/>
      <c r="F100" s="5"/>
      <c r="G100" s="5"/>
      <c r="H100" s="5"/>
      <c r="I100" s="5">
        <v>14.93</v>
      </c>
      <c r="J100" s="5"/>
      <c r="K100" s="5"/>
      <c r="L100" s="5"/>
      <c r="M100" s="5"/>
      <c r="N100" s="5"/>
      <c r="O100" s="5"/>
      <c r="P100" s="5"/>
      <c r="Q100" s="5"/>
      <c r="R100" s="5"/>
    </row>
    <row r="101" spans="1:19">
      <c r="A101" s="3">
        <v>46215</v>
      </c>
      <c r="B101" t="s">
        <v>260</v>
      </c>
      <c r="D101" s="5">
        <f t="shared" si="3"/>
        <v>262.5</v>
      </c>
      <c r="E101" s="5">
        <v>262.5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9">
      <c r="A102" s="3">
        <v>46219</v>
      </c>
      <c r="B102" t="s">
        <v>235</v>
      </c>
      <c r="D102" s="5">
        <f t="shared" si="3"/>
        <v>125</v>
      </c>
      <c r="E102" s="5"/>
      <c r="F102" s="5"/>
      <c r="G102" s="5"/>
      <c r="H102" s="5"/>
      <c r="I102" s="5"/>
      <c r="J102" s="5"/>
      <c r="K102" s="5"/>
      <c r="L102" s="5"/>
      <c r="M102" s="5"/>
      <c r="N102" s="5">
        <v>125</v>
      </c>
      <c r="O102" s="5"/>
      <c r="P102" s="5"/>
      <c r="Q102" s="5"/>
      <c r="R102" s="5"/>
      <c r="S102" t="s">
        <v>236</v>
      </c>
    </row>
    <row r="103" spans="1:19">
      <c r="A103" s="3">
        <v>46220</v>
      </c>
      <c r="B103" t="s">
        <v>238</v>
      </c>
      <c r="D103" s="5">
        <f t="shared" si="3"/>
        <v>4.29</v>
      </c>
      <c r="E103" s="5"/>
      <c r="F103" s="5"/>
      <c r="G103" s="5"/>
      <c r="H103" s="5"/>
      <c r="I103" s="5">
        <v>4.29</v>
      </c>
      <c r="J103" s="5"/>
      <c r="K103" s="5"/>
      <c r="L103" s="5"/>
      <c r="M103" s="5"/>
      <c r="N103" s="5"/>
      <c r="O103" s="5"/>
      <c r="P103" s="5"/>
      <c r="Q103" s="5"/>
      <c r="R103" s="5"/>
    </row>
    <row r="104" spans="1:19">
      <c r="B104" t="s">
        <v>238</v>
      </c>
      <c r="D104" s="5">
        <f t="shared" si="3"/>
        <v>17.850000000000001</v>
      </c>
      <c r="E104" s="5"/>
      <c r="F104" s="5"/>
      <c r="G104" s="5">
        <v>17.850000000000001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9">
      <c r="B105" t="s">
        <v>238</v>
      </c>
      <c r="D105" s="5">
        <f t="shared" si="3"/>
        <v>3.89</v>
      </c>
      <c r="E105" s="5"/>
      <c r="F105" s="5"/>
      <c r="G105" s="5">
        <v>3.89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9">
      <c r="B106" t="s">
        <v>238</v>
      </c>
      <c r="D106" s="5">
        <f t="shared" si="3"/>
        <v>2.89</v>
      </c>
      <c r="E106" s="5"/>
      <c r="F106" s="5"/>
      <c r="G106" s="5">
        <v>2.89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9">
      <c r="B107" t="s">
        <v>238</v>
      </c>
      <c r="D107" s="5">
        <f t="shared" si="3"/>
        <v>34.99</v>
      </c>
      <c r="E107" s="5"/>
      <c r="F107" s="5"/>
      <c r="G107" s="5"/>
      <c r="H107" s="5"/>
      <c r="I107" s="5">
        <v>34.99</v>
      </c>
      <c r="J107" s="5"/>
      <c r="K107" s="5"/>
      <c r="L107" s="5"/>
      <c r="M107" s="5"/>
      <c r="N107" s="5"/>
      <c r="O107" s="5"/>
      <c r="P107" s="5"/>
      <c r="Q107" s="5"/>
      <c r="R107" s="5"/>
    </row>
    <row r="108" spans="1:19">
      <c r="A108" s="3">
        <v>46221</v>
      </c>
      <c r="B108" t="s">
        <v>147</v>
      </c>
      <c r="D108" s="5">
        <f t="shared" si="3"/>
        <v>21.79</v>
      </c>
      <c r="E108" s="5"/>
      <c r="F108" s="5"/>
      <c r="G108" s="5"/>
      <c r="H108" s="5"/>
      <c r="I108" s="5">
        <v>21.79</v>
      </c>
      <c r="J108" s="5"/>
      <c r="K108" s="5"/>
      <c r="L108" s="5"/>
      <c r="M108" s="5"/>
      <c r="N108" s="5"/>
      <c r="O108" s="5"/>
      <c r="P108" s="5"/>
      <c r="Q108" s="5"/>
      <c r="R108" s="5"/>
    </row>
    <row r="109" spans="1:19">
      <c r="B109" t="s">
        <v>146</v>
      </c>
      <c r="D109" s="5">
        <f t="shared" si="3"/>
        <v>42.8</v>
      </c>
      <c r="E109" s="5"/>
      <c r="F109" s="5"/>
      <c r="G109" s="5">
        <v>42.8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9">
      <c r="A110" s="3">
        <v>46222</v>
      </c>
      <c r="B110" t="s">
        <v>223</v>
      </c>
      <c r="D110" s="5">
        <f t="shared" si="3"/>
        <v>25</v>
      </c>
      <c r="E110" s="5"/>
      <c r="F110" s="5"/>
      <c r="G110" s="5"/>
      <c r="H110" s="5"/>
      <c r="I110" s="5"/>
      <c r="J110" s="5"/>
      <c r="K110" s="5"/>
      <c r="L110" s="5"/>
      <c r="M110" s="5"/>
      <c r="N110" s="5">
        <v>25</v>
      </c>
      <c r="O110" s="5"/>
      <c r="P110" s="5"/>
      <c r="Q110" s="5"/>
      <c r="R110" s="5"/>
    </row>
    <row r="111" spans="1:19">
      <c r="B111" t="s">
        <v>157</v>
      </c>
      <c r="D111" s="5">
        <f t="shared" si="3"/>
        <v>100</v>
      </c>
      <c r="E111" s="5"/>
      <c r="F111" s="5"/>
      <c r="G111" s="5"/>
      <c r="H111" s="5">
        <v>100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9">
      <c r="B112" t="s">
        <v>239</v>
      </c>
      <c r="D112" s="5">
        <f t="shared" si="3"/>
        <v>320</v>
      </c>
      <c r="E112" s="5"/>
      <c r="F112" s="5"/>
      <c r="G112" s="5">
        <v>320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t="s">
        <v>240</v>
      </c>
    </row>
    <row r="113" spans="1:19">
      <c r="B113" t="s">
        <v>192</v>
      </c>
      <c r="D113" s="5">
        <f t="shared" si="3"/>
        <v>2.64</v>
      </c>
      <c r="E113" s="5"/>
      <c r="F113" s="5"/>
      <c r="G113" s="5"/>
      <c r="H113" s="5"/>
      <c r="I113" s="5">
        <v>2.64</v>
      </c>
      <c r="J113" s="5"/>
      <c r="K113" s="5"/>
      <c r="L113" s="5"/>
      <c r="M113" s="5"/>
      <c r="N113" s="5"/>
      <c r="O113" s="5"/>
      <c r="P113" s="5"/>
      <c r="Q113" s="5"/>
      <c r="R113" s="5"/>
    </row>
    <row r="114" spans="1:19">
      <c r="A114" s="3">
        <v>46228</v>
      </c>
      <c r="B114" t="s">
        <v>203</v>
      </c>
      <c r="D114" s="5">
        <f t="shared" si="3"/>
        <v>1887.57</v>
      </c>
      <c r="E114" s="5">
        <v>1887.57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9">
      <c r="A115" s="3">
        <v>46233</v>
      </c>
      <c r="B115" t="s">
        <v>162</v>
      </c>
      <c r="D115" s="5">
        <f t="shared" si="3"/>
        <v>92.65</v>
      </c>
      <c r="E115" s="5">
        <v>92.65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9">
      <c r="B116" t="s">
        <v>185</v>
      </c>
      <c r="D116" s="5">
        <f t="shared" si="3"/>
        <v>1143.8399999999999</v>
      </c>
      <c r="E116" s="5">
        <v>1143.8399999999999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9">
      <c r="B117" t="s">
        <v>209</v>
      </c>
      <c r="D117" s="5">
        <f t="shared" si="3"/>
        <v>1726.97</v>
      </c>
      <c r="E117" s="5">
        <v>1726.97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9">
      <c r="B118" t="s">
        <v>208</v>
      </c>
      <c r="D118" s="5">
        <f t="shared" si="3"/>
        <v>729.4</v>
      </c>
      <c r="E118" s="5">
        <v>729.4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9">
      <c r="B119" t="s">
        <v>157</v>
      </c>
      <c r="D119" s="5">
        <f t="shared" si="3"/>
        <v>181.25</v>
      </c>
      <c r="E119" s="5"/>
      <c r="F119" s="5"/>
      <c r="G119" s="5"/>
      <c r="H119" s="5">
        <v>181.25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9">
      <c r="B120" t="s">
        <v>215</v>
      </c>
      <c r="D120" s="5">
        <f t="shared" si="3"/>
        <v>264.93</v>
      </c>
      <c r="E120" s="5"/>
      <c r="F120" s="5"/>
      <c r="G120" s="5"/>
      <c r="H120" s="5">
        <v>264.93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9">
      <c r="B121" t="s">
        <v>241</v>
      </c>
      <c r="D121" s="5">
        <f t="shared" si="3"/>
        <v>125</v>
      </c>
      <c r="E121" s="5" t="s">
        <v>242</v>
      </c>
      <c r="F121" s="5"/>
      <c r="G121" s="5"/>
      <c r="H121" s="5"/>
      <c r="I121" s="5">
        <v>125</v>
      </c>
      <c r="J121" s="5"/>
      <c r="K121" s="5"/>
      <c r="L121" s="5"/>
      <c r="M121" s="5"/>
      <c r="N121" s="5"/>
      <c r="O121" s="5"/>
      <c r="P121" s="5"/>
      <c r="Q121" s="5"/>
      <c r="R121" s="5"/>
    </row>
    <row r="122" spans="1:19">
      <c r="A122" s="3">
        <v>46235</v>
      </c>
      <c r="B122" t="s">
        <v>165</v>
      </c>
      <c r="D122" s="5">
        <f t="shared" si="3"/>
        <v>13.25</v>
      </c>
      <c r="E122" s="5"/>
      <c r="F122" s="5"/>
      <c r="G122" s="5"/>
      <c r="H122" s="5"/>
      <c r="I122" s="5"/>
      <c r="J122" s="5"/>
      <c r="K122" s="5"/>
      <c r="L122" s="5"/>
      <c r="M122" s="5"/>
      <c r="N122" s="5">
        <v>13.25</v>
      </c>
      <c r="O122" s="5"/>
      <c r="P122" s="5"/>
      <c r="Q122" s="5"/>
      <c r="R122" s="5"/>
    </row>
    <row r="123" spans="1:19">
      <c r="B123" t="s">
        <v>224</v>
      </c>
      <c r="D123" s="5">
        <f t="shared" si="3"/>
        <v>319</v>
      </c>
      <c r="E123" s="5"/>
      <c r="F123" s="5"/>
      <c r="G123" s="5"/>
      <c r="H123" s="5">
        <v>319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9">
      <c r="B124" t="s">
        <v>182</v>
      </c>
      <c r="D124" s="5">
        <f t="shared" si="3"/>
        <v>49.239999999999995</v>
      </c>
      <c r="E124" s="5"/>
      <c r="F124" s="5"/>
      <c r="G124" s="5"/>
      <c r="H124" s="5"/>
      <c r="I124" s="5">
        <f>49.58-0.34</f>
        <v>49.239999999999995</v>
      </c>
      <c r="J124" s="5"/>
      <c r="K124" s="5"/>
      <c r="L124" s="5"/>
      <c r="M124" s="5"/>
      <c r="N124" s="5"/>
      <c r="O124" s="5"/>
      <c r="P124" s="5"/>
      <c r="Q124" s="5"/>
      <c r="R124" s="5"/>
    </row>
    <row r="125" spans="1:19">
      <c r="A125" s="3">
        <v>46241</v>
      </c>
      <c r="B125" t="s">
        <v>157</v>
      </c>
      <c r="D125" s="5">
        <f t="shared" si="3"/>
        <v>100</v>
      </c>
      <c r="E125" s="5"/>
      <c r="F125" s="5"/>
      <c r="G125" s="5"/>
      <c r="H125" s="5">
        <v>100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9">
      <c r="A126" s="3">
        <v>46242</v>
      </c>
      <c r="B126" t="s">
        <v>182</v>
      </c>
      <c r="D126" s="5">
        <f t="shared" si="3"/>
        <v>73.359999999999985</v>
      </c>
      <c r="E126" s="5"/>
      <c r="F126" s="5"/>
      <c r="G126" s="5"/>
      <c r="H126" s="5"/>
      <c r="I126" s="5">
        <f>33.69+32.82+4.85</f>
        <v>71.359999999999985</v>
      </c>
      <c r="J126" s="5"/>
      <c r="K126" s="5"/>
      <c r="L126" s="5"/>
      <c r="M126" s="5">
        <v>2</v>
      </c>
      <c r="N126" s="5"/>
      <c r="O126" s="5"/>
      <c r="P126" s="5"/>
      <c r="Q126" s="5"/>
      <c r="R126" s="5"/>
    </row>
    <row r="127" spans="1:19">
      <c r="A127" s="3">
        <v>46243</v>
      </c>
      <c r="B127" t="s">
        <v>182</v>
      </c>
      <c r="D127" s="5">
        <f t="shared" si="3"/>
        <v>3.95</v>
      </c>
      <c r="E127" s="5"/>
      <c r="F127" s="5"/>
      <c r="G127" s="5"/>
      <c r="H127" s="5"/>
      <c r="I127" s="5">
        <v>3.95</v>
      </c>
      <c r="J127" s="5"/>
      <c r="K127" s="5"/>
      <c r="L127" s="5"/>
      <c r="M127" s="5"/>
      <c r="N127" s="5"/>
      <c r="O127" s="5"/>
      <c r="P127" s="5"/>
      <c r="Q127" s="5"/>
      <c r="R127" s="5"/>
    </row>
    <row r="128" spans="1:19">
      <c r="A128" s="3">
        <v>46247</v>
      </c>
      <c r="B128" t="s">
        <v>245</v>
      </c>
      <c r="D128" s="5">
        <f t="shared" si="3"/>
        <v>86.26</v>
      </c>
      <c r="E128" s="5"/>
      <c r="F128" s="5"/>
      <c r="G128" s="5">
        <v>86.26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t="s">
        <v>246</v>
      </c>
    </row>
    <row r="129" spans="1:19">
      <c r="B129" s="5" t="s">
        <v>245</v>
      </c>
      <c r="D129" s="5">
        <f t="shared" si="3"/>
        <v>21.82</v>
      </c>
      <c r="E129" s="5"/>
      <c r="F129" s="5"/>
      <c r="G129" s="5">
        <v>21.82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9">
      <c r="B130" t="s">
        <v>209</v>
      </c>
      <c r="D130" s="5">
        <f t="shared" si="3"/>
        <v>189.87</v>
      </c>
      <c r="E130" s="5"/>
      <c r="F130" s="5"/>
      <c r="G130" s="5">
        <v>189.87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t="s">
        <v>247</v>
      </c>
    </row>
    <row r="131" spans="1:19">
      <c r="B131" t="s">
        <v>157</v>
      </c>
      <c r="D131" s="5">
        <f t="shared" ref="D131:D268" si="4">SUM(E131:R131)</f>
        <v>93.75</v>
      </c>
      <c r="E131" s="5"/>
      <c r="F131" s="5"/>
      <c r="G131" s="5"/>
      <c r="H131" s="5">
        <v>93.75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9">
      <c r="B132" t="s">
        <v>261</v>
      </c>
      <c r="D132" s="5">
        <f t="shared" si="4"/>
        <v>262.5</v>
      </c>
      <c r="E132" s="5">
        <v>262.5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9">
      <c r="A133" s="3">
        <v>46250</v>
      </c>
      <c r="B133" t="s">
        <v>182</v>
      </c>
      <c r="D133" s="5">
        <f t="shared" si="4"/>
        <v>69.97</v>
      </c>
      <c r="E133" s="5"/>
      <c r="F133" s="5"/>
      <c r="G133" s="5"/>
      <c r="H133" s="5"/>
      <c r="I133" s="5">
        <f>1.49+5.96+43.98+19.74-1.2-6.8</f>
        <v>63.17</v>
      </c>
      <c r="J133" s="5"/>
      <c r="K133" s="5"/>
      <c r="L133" s="5"/>
      <c r="M133" s="5">
        <v>6.8</v>
      </c>
      <c r="N133" s="5"/>
      <c r="O133" s="5"/>
      <c r="P133" s="5"/>
      <c r="Q133" s="5"/>
      <c r="R133" s="5"/>
    </row>
    <row r="134" spans="1:19">
      <c r="A134" s="3">
        <v>46254</v>
      </c>
      <c r="B134" t="s">
        <v>146</v>
      </c>
      <c r="D134" s="5">
        <f t="shared" si="4"/>
        <v>42.8</v>
      </c>
      <c r="E134" s="5"/>
      <c r="F134" s="5"/>
      <c r="G134" s="5">
        <v>42.8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9">
      <c r="A135" s="3">
        <v>46257</v>
      </c>
      <c r="B135" t="s">
        <v>248</v>
      </c>
      <c r="D135" s="5">
        <f t="shared" si="4"/>
        <v>17.43</v>
      </c>
      <c r="E135" s="5"/>
      <c r="F135" s="5"/>
      <c r="G135" s="5"/>
      <c r="H135" s="5"/>
      <c r="I135" s="5">
        <f>12.09+5.34</f>
        <v>17.43</v>
      </c>
      <c r="J135" s="5"/>
      <c r="K135" s="5"/>
      <c r="L135" s="5"/>
      <c r="M135" s="5"/>
      <c r="N135" s="5"/>
      <c r="O135" s="5"/>
      <c r="P135" s="5"/>
      <c r="Q135" s="5"/>
      <c r="R135" s="5"/>
    </row>
    <row r="136" spans="1:19">
      <c r="A136" s="3">
        <v>46261</v>
      </c>
      <c r="B136" t="s">
        <v>198</v>
      </c>
      <c r="D136" s="5">
        <f t="shared" si="4"/>
        <v>60.92</v>
      </c>
      <c r="E136" s="5"/>
      <c r="F136" s="5"/>
      <c r="G136" s="5"/>
      <c r="H136" s="5">
        <v>60.92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9">
      <c r="A137" s="3">
        <v>46262</v>
      </c>
      <c r="B137" t="s">
        <v>209</v>
      </c>
      <c r="D137" s="5">
        <f t="shared" si="4"/>
        <v>1726.97</v>
      </c>
      <c r="E137" s="5">
        <v>1726.97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9">
      <c r="B138" t="s">
        <v>185</v>
      </c>
      <c r="D138" s="5">
        <f t="shared" si="4"/>
        <v>1143.8399999999999</v>
      </c>
      <c r="E138" s="5">
        <v>1143.8399999999999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9">
      <c r="B139" t="s">
        <v>208</v>
      </c>
      <c r="D139" s="5">
        <f t="shared" si="4"/>
        <v>729.4</v>
      </c>
      <c r="E139" s="5">
        <v>729.4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1:19">
      <c r="A140" s="3">
        <v>46264</v>
      </c>
      <c r="B140" t="s">
        <v>162</v>
      </c>
      <c r="D140" s="5">
        <f t="shared" si="4"/>
        <v>92.65</v>
      </c>
      <c r="E140" s="5">
        <v>92.65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1:19">
      <c r="A141" s="3">
        <v>46236</v>
      </c>
      <c r="B141" t="s">
        <v>165</v>
      </c>
      <c r="D141" s="5">
        <f t="shared" si="4"/>
        <v>13.25</v>
      </c>
      <c r="E141" s="5"/>
      <c r="F141" s="5"/>
      <c r="G141" s="5"/>
      <c r="H141" s="5"/>
      <c r="I141" s="5"/>
      <c r="J141" s="5"/>
      <c r="K141" s="5"/>
      <c r="L141" s="5"/>
      <c r="M141" s="5"/>
      <c r="N141" s="5">
        <v>13.25</v>
      </c>
      <c r="O141" s="5"/>
      <c r="P141" s="5"/>
      <c r="Q141" s="5"/>
      <c r="R141" s="5"/>
    </row>
    <row r="142" spans="1:19">
      <c r="B142" t="s">
        <v>224</v>
      </c>
      <c r="D142" s="5">
        <f t="shared" si="4"/>
        <v>319</v>
      </c>
      <c r="E142" s="5"/>
      <c r="F142" s="5"/>
      <c r="G142" s="5">
        <v>319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1:19">
      <c r="A143" s="3">
        <v>46267</v>
      </c>
      <c r="B143" t="s">
        <v>249</v>
      </c>
      <c r="D143" s="5">
        <f t="shared" si="4"/>
        <v>400</v>
      </c>
      <c r="E143" s="5"/>
      <c r="F143" s="5"/>
      <c r="G143" s="5"/>
      <c r="H143" s="5"/>
      <c r="I143" s="5">
        <v>400</v>
      </c>
      <c r="J143" s="5"/>
      <c r="K143" s="5"/>
      <c r="L143" s="5"/>
      <c r="M143" s="5"/>
      <c r="N143" s="5"/>
      <c r="O143" s="5"/>
      <c r="P143" s="5"/>
      <c r="Q143" s="5"/>
      <c r="R143" s="5"/>
    </row>
    <row r="144" spans="1:19">
      <c r="A144" s="3">
        <v>46271</v>
      </c>
      <c r="B144" t="s">
        <v>245</v>
      </c>
      <c r="D144" s="5">
        <f t="shared" si="4"/>
        <v>131.34</v>
      </c>
      <c r="E144" s="5"/>
      <c r="F144" s="5"/>
      <c r="G144" s="5">
        <v>131.34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9">
      <c r="B145" t="s">
        <v>182</v>
      </c>
      <c r="D145" s="5">
        <f t="shared" si="4"/>
        <v>70.400000000000006</v>
      </c>
      <c r="E145" s="5"/>
      <c r="F145" s="5"/>
      <c r="G145" s="5"/>
      <c r="H145" s="5"/>
      <c r="I145" s="5">
        <f>70.54-0.14-13.94</f>
        <v>56.460000000000008</v>
      </c>
      <c r="J145" s="5"/>
      <c r="K145" s="5"/>
      <c r="L145" s="5"/>
      <c r="M145" s="5">
        <v>13.94</v>
      </c>
      <c r="N145" s="5"/>
      <c r="O145" s="5"/>
      <c r="P145" s="5"/>
      <c r="Q145" s="5"/>
      <c r="R145" s="5"/>
    </row>
    <row r="146" spans="1:19">
      <c r="A146" s="3">
        <v>46274</v>
      </c>
      <c r="B146" t="s">
        <v>192</v>
      </c>
      <c r="D146" s="5">
        <f t="shared" si="4"/>
        <v>5.75</v>
      </c>
      <c r="E146" s="5"/>
      <c r="F146" s="5"/>
      <c r="G146" s="5"/>
      <c r="H146" s="5"/>
      <c r="I146" s="5">
        <v>5.75</v>
      </c>
      <c r="J146" s="5"/>
      <c r="K146" s="5"/>
      <c r="L146" s="5"/>
      <c r="M146" s="5"/>
      <c r="N146" s="5"/>
      <c r="O146" s="5"/>
      <c r="P146" s="5"/>
      <c r="Q146" s="5"/>
      <c r="R146" s="5"/>
    </row>
    <row r="147" spans="1:19">
      <c r="B147" t="s">
        <v>238</v>
      </c>
      <c r="D147" s="5">
        <f t="shared" si="4"/>
        <v>42.99</v>
      </c>
      <c r="E147" s="5"/>
      <c r="F147" s="5"/>
      <c r="G147" s="5"/>
      <c r="H147" s="5"/>
      <c r="I147" s="5">
        <v>42.99</v>
      </c>
      <c r="J147" s="5"/>
      <c r="K147" s="5"/>
      <c r="L147" s="5"/>
      <c r="M147" s="5"/>
      <c r="N147" s="5"/>
      <c r="O147" s="5"/>
      <c r="P147" s="5"/>
      <c r="Q147" s="5"/>
      <c r="R147" s="5"/>
    </row>
    <row r="148" spans="1:19">
      <c r="B148" t="s">
        <v>192</v>
      </c>
      <c r="D148" s="5">
        <f t="shared" si="4"/>
        <v>4.55</v>
      </c>
      <c r="E148" s="5"/>
      <c r="F148" s="5"/>
      <c r="G148" s="5"/>
      <c r="H148" s="5"/>
      <c r="I148" s="5">
        <v>4.55</v>
      </c>
      <c r="J148" s="5"/>
      <c r="K148" s="5"/>
      <c r="L148" s="5"/>
      <c r="M148" s="5"/>
      <c r="N148" s="5"/>
      <c r="O148" s="5"/>
      <c r="P148" s="5"/>
      <c r="Q148" s="5"/>
      <c r="R148" s="5"/>
    </row>
    <row r="149" spans="1:19">
      <c r="A149" s="3">
        <v>46275</v>
      </c>
      <c r="B149" t="s">
        <v>182</v>
      </c>
      <c r="D149" s="5">
        <f t="shared" si="4"/>
        <v>3.95</v>
      </c>
      <c r="E149" s="5"/>
      <c r="F149" s="5"/>
      <c r="G149" s="5"/>
      <c r="H149" s="5"/>
      <c r="I149" s="5">
        <v>3.95</v>
      </c>
      <c r="J149" s="5"/>
      <c r="K149" s="5"/>
      <c r="L149" s="5"/>
      <c r="M149" s="5"/>
      <c r="N149" s="5"/>
      <c r="O149" s="5"/>
      <c r="P149" s="5"/>
      <c r="Q149" s="5"/>
      <c r="R149" s="5"/>
    </row>
    <row r="150" spans="1:19">
      <c r="A150" s="3">
        <v>46278</v>
      </c>
      <c r="B150" t="s">
        <v>182</v>
      </c>
      <c r="D150" s="5">
        <f t="shared" si="4"/>
        <v>71.83</v>
      </c>
      <c r="E150" s="5"/>
      <c r="F150" s="5"/>
      <c r="G150" s="5"/>
      <c r="H150" s="5"/>
      <c r="I150" s="5">
        <v>71.83</v>
      </c>
      <c r="J150" s="5"/>
      <c r="K150" s="5"/>
      <c r="L150" s="5"/>
      <c r="M150" s="5"/>
      <c r="N150" s="5"/>
      <c r="O150" s="5"/>
      <c r="P150" s="5"/>
      <c r="Q150" s="5"/>
      <c r="R150" s="5"/>
    </row>
    <row r="151" spans="1:19">
      <c r="B151" t="s">
        <v>250</v>
      </c>
      <c r="D151" s="5">
        <f t="shared" si="4"/>
        <v>80.39</v>
      </c>
      <c r="E151" s="5"/>
      <c r="F151" s="5"/>
      <c r="G151" s="5"/>
      <c r="H151" s="5">
        <v>80.39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t="s">
        <v>251</v>
      </c>
    </row>
    <row r="152" spans="1:19">
      <c r="A152" s="3">
        <v>46281</v>
      </c>
      <c r="B152" t="s">
        <v>192</v>
      </c>
      <c r="D152" s="5">
        <f t="shared" si="4"/>
        <v>2.25</v>
      </c>
      <c r="E152" s="5"/>
      <c r="F152" s="5"/>
      <c r="G152" s="5"/>
      <c r="H152" s="5"/>
      <c r="I152" s="5">
        <v>2.25</v>
      </c>
      <c r="J152" s="5"/>
      <c r="K152" s="5"/>
      <c r="L152" s="5"/>
      <c r="M152" s="5"/>
      <c r="N152" s="5"/>
      <c r="O152" s="5"/>
      <c r="P152" s="5"/>
      <c r="Q152" s="5"/>
      <c r="R152" s="5"/>
    </row>
    <row r="153" spans="1:19">
      <c r="A153" s="3">
        <v>46282</v>
      </c>
      <c r="B153" t="s">
        <v>252</v>
      </c>
      <c r="D153" s="5">
        <f t="shared" si="4"/>
        <v>234</v>
      </c>
      <c r="E153" s="5"/>
      <c r="F153" s="5"/>
      <c r="G153" s="5"/>
      <c r="H153" s="5">
        <v>234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t="s">
        <v>253</v>
      </c>
    </row>
    <row r="154" spans="1:19">
      <c r="B154" t="s">
        <v>254</v>
      </c>
      <c r="D154" s="5">
        <f t="shared" si="4"/>
        <v>380</v>
      </c>
      <c r="E154" s="5"/>
      <c r="F154" s="5"/>
      <c r="G154" s="5"/>
      <c r="H154" s="5"/>
      <c r="I154" s="5"/>
      <c r="J154" s="5"/>
      <c r="K154" s="5"/>
      <c r="L154" s="5"/>
      <c r="M154" s="5"/>
      <c r="N154" s="5">
        <v>380</v>
      </c>
      <c r="O154" s="5"/>
      <c r="P154" s="5"/>
      <c r="Q154" s="5"/>
      <c r="R154" s="5"/>
      <c r="S154" t="s">
        <v>255</v>
      </c>
    </row>
    <row r="155" spans="1:19">
      <c r="B155" t="s">
        <v>215</v>
      </c>
      <c r="D155" s="5">
        <f t="shared" si="4"/>
        <v>83.85</v>
      </c>
      <c r="E155" s="5"/>
      <c r="F155" s="5"/>
      <c r="G155" s="5"/>
      <c r="H155" s="5">
        <v>83.85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spans="1:19">
      <c r="B156" t="s">
        <v>157</v>
      </c>
      <c r="D156" s="5">
        <f t="shared" si="4"/>
        <v>243.75</v>
      </c>
      <c r="E156" s="5"/>
      <c r="F156" s="5"/>
      <c r="G156" s="5"/>
      <c r="H156" s="5">
        <v>243.75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spans="1:19">
      <c r="A157" s="3">
        <v>46284</v>
      </c>
      <c r="B157" t="s">
        <v>146</v>
      </c>
      <c r="D157" s="5">
        <f t="shared" si="4"/>
        <v>42.8</v>
      </c>
      <c r="E157" s="5"/>
      <c r="F157" s="5"/>
      <c r="G157" s="5">
        <v>42.8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9">
      <c r="B158" t="s">
        <v>262</v>
      </c>
      <c r="D158" s="5">
        <f t="shared" si="4"/>
        <v>262.5</v>
      </c>
      <c r="E158" s="5">
        <v>262.5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spans="1:19">
      <c r="A159" s="3">
        <v>46285</v>
      </c>
      <c r="B159" t="s">
        <v>182</v>
      </c>
      <c r="D159" s="5">
        <f t="shared" si="4"/>
        <v>40.94</v>
      </c>
      <c r="E159" s="5"/>
      <c r="F159" s="5"/>
      <c r="G159" s="5"/>
      <c r="H159" s="5"/>
      <c r="I159" s="5">
        <v>40.94</v>
      </c>
      <c r="J159" s="5"/>
      <c r="K159" s="5"/>
      <c r="L159" s="5"/>
      <c r="M159" s="5"/>
      <c r="N159" s="5"/>
      <c r="O159" s="5"/>
      <c r="P159" s="5"/>
      <c r="Q159" s="5"/>
      <c r="R159" s="5"/>
    </row>
    <row r="160" spans="1:19">
      <c r="A160" s="3">
        <v>46292</v>
      </c>
      <c r="B160" t="s">
        <v>182</v>
      </c>
      <c r="D160" s="5">
        <f t="shared" si="4"/>
        <v>42.989999999999995</v>
      </c>
      <c r="E160" s="5"/>
      <c r="F160" s="5"/>
      <c r="G160" s="5"/>
      <c r="H160" s="5"/>
      <c r="I160" s="5">
        <f>43.62-0.63</f>
        <v>42.989999999999995</v>
      </c>
      <c r="J160" s="5"/>
      <c r="K160" s="5"/>
      <c r="L160" s="5"/>
      <c r="M160" s="5"/>
      <c r="N160" s="5"/>
      <c r="O160" s="5"/>
      <c r="P160" s="5"/>
      <c r="Q160" s="5"/>
      <c r="R160" s="5"/>
    </row>
    <row r="161" spans="1:19">
      <c r="B161" t="s">
        <v>192</v>
      </c>
      <c r="D161" s="5">
        <f t="shared" si="4"/>
        <v>10.65</v>
      </c>
      <c r="E161" s="5"/>
      <c r="F161" s="5"/>
      <c r="G161" s="5"/>
      <c r="H161" s="5"/>
      <c r="I161" s="5">
        <v>10.65</v>
      </c>
      <c r="J161" s="5"/>
      <c r="K161" s="5"/>
      <c r="L161" s="5"/>
      <c r="M161" s="5"/>
      <c r="N161" s="5"/>
      <c r="O161" s="5"/>
      <c r="P161" s="5"/>
      <c r="Q161" s="5"/>
      <c r="R161" s="5"/>
    </row>
    <row r="162" spans="1:19">
      <c r="A162" s="3">
        <v>46292</v>
      </c>
      <c r="B162" t="s">
        <v>209</v>
      </c>
      <c r="D162" s="5">
        <f>SUM(E162:R162)</f>
        <v>1726.97</v>
      </c>
      <c r="E162" s="5">
        <v>1726.97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spans="1:19">
      <c r="B163" t="s">
        <v>185</v>
      </c>
      <c r="D163" s="5">
        <f>SUM(E163:R163)</f>
        <v>1143.95</v>
      </c>
      <c r="E163" s="5">
        <v>1143.95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spans="1:19">
      <c r="B164" t="s">
        <v>208</v>
      </c>
      <c r="D164" s="5">
        <f>SUM(E164:R164)</f>
        <v>810.62</v>
      </c>
      <c r="E164" s="5">
        <v>810.62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spans="1:19">
      <c r="B165" t="s">
        <v>157</v>
      </c>
      <c r="D165" s="5">
        <f t="shared" si="4"/>
        <v>100</v>
      </c>
      <c r="E165" s="5"/>
      <c r="F165" s="5"/>
      <c r="G165" s="5"/>
      <c r="H165" s="5">
        <v>100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spans="1:19">
      <c r="A166" s="3">
        <v>46295</v>
      </c>
      <c r="B166" t="s">
        <v>162</v>
      </c>
      <c r="D166" s="5">
        <f t="shared" si="4"/>
        <v>92.65</v>
      </c>
      <c r="E166" s="5">
        <v>92.65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9">
      <c r="A167" s="3">
        <v>46296</v>
      </c>
      <c r="B167" t="s">
        <v>165</v>
      </c>
      <c r="D167" s="5">
        <f t="shared" si="4"/>
        <v>13.25</v>
      </c>
      <c r="E167" s="5"/>
      <c r="F167" s="5"/>
      <c r="G167" s="5"/>
      <c r="H167" s="5"/>
      <c r="I167" s="5"/>
      <c r="J167" s="5"/>
      <c r="K167" s="5"/>
      <c r="L167" s="5"/>
      <c r="M167" s="5"/>
      <c r="N167" s="5">
        <v>13.25</v>
      </c>
      <c r="O167" s="5"/>
      <c r="P167" s="5"/>
      <c r="Q167" s="5"/>
      <c r="R167" s="5"/>
    </row>
    <row r="168" spans="1:19">
      <c r="B168" t="s">
        <v>164</v>
      </c>
      <c r="D168" s="5">
        <f t="shared" si="4"/>
        <v>319</v>
      </c>
      <c r="E168" s="5"/>
      <c r="F168" s="5"/>
      <c r="G168" s="5"/>
      <c r="H168" s="5">
        <v>319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spans="1:19">
      <c r="B169" t="s">
        <v>263</v>
      </c>
      <c r="D169" s="5">
        <f t="shared" si="4"/>
        <v>262.5</v>
      </c>
      <c r="E169" s="5">
        <v>262.5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spans="1:19">
      <c r="A170" s="3">
        <v>46298</v>
      </c>
      <c r="B170" t="s">
        <v>182</v>
      </c>
      <c r="D170" s="5">
        <f t="shared" si="4"/>
        <v>69.900000000000006</v>
      </c>
      <c r="E170" s="5"/>
      <c r="F170" s="5"/>
      <c r="G170" s="5"/>
      <c r="H170" s="5"/>
      <c r="I170" s="5">
        <f>70.42-0.52</f>
        <v>69.900000000000006</v>
      </c>
      <c r="J170" s="5"/>
      <c r="K170" s="5"/>
      <c r="L170" s="5"/>
      <c r="M170" s="5"/>
      <c r="N170" s="5"/>
      <c r="O170" s="5"/>
      <c r="P170" s="5"/>
      <c r="Q170" s="5"/>
      <c r="R170" s="5"/>
    </row>
    <row r="171" spans="1:19">
      <c r="A171" s="3">
        <v>46304</v>
      </c>
      <c r="B171" t="s">
        <v>182</v>
      </c>
      <c r="D171" s="5">
        <f t="shared" si="4"/>
        <v>3.95</v>
      </c>
      <c r="E171" s="5"/>
      <c r="F171" s="5"/>
      <c r="G171" s="5"/>
      <c r="H171" s="5"/>
      <c r="I171" s="5">
        <v>3.95</v>
      </c>
      <c r="J171" s="5"/>
      <c r="K171" s="5"/>
      <c r="L171" s="5"/>
      <c r="M171" s="5"/>
      <c r="N171" s="5"/>
      <c r="O171" s="5"/>
      <c r="P171" s="5"/>
      <c r="Q171" s="5"/>
      <c r="R171" s="5"/>
    </row>
    <row r="172" spans="1:19">
      <c r="A172" s="3">
        <v>46306</v>
      </c>
      <c r="B172" t="s">
        <v>267</v>
      </c>
      <c r="D172" s="5">
        <f t="shared" si="4"/>
        <v>120</v>
      </c>
      <c r="E172" s="5"/>
      <c r="F172" s="5"/>
      <c r="G172" s="5"/>
      <c r="H172" s="5"/>
      <c r="I172" s="5">
        <v>120</v>
      </c>
      <c r="J172" s="5"/>
      <c r="K172" s="5"/>
      <c r="L172" s="5"/>
      <c r="M172" s="5"/>
      <c r="N172" s="5"/>
      <c r="O172" s="5"/>
      <c r="P172" s="5"/>
      <c r="Q172" s="5"/>
      <c r="R172" s="5"/>
      <c r="S172" t="s">
        <v>268</v>
      </c>
    </row>
    <row r="173" spans="1:19">
      <c r="B173" t="s">
        <v>182</v>
      </c>
      <c r="D173" s="5">
        <f t="shared" si="4"/>
        <v>42</v>
      </c>
      <c r="E173" s="5"/>
      <c r="F173" s="5"/>
      <c r="G173" s="5"/>
      <c r="H173" s="5"/>
      <c r="I173" s="5">
        <v>42</v>
      </c>
      <c r="J173" s="5"/>
      <c r="K173" s="5"/>
      <c r="L173" s="5"/>
      <c r="M173" s="5"/>
      <c r="N173" s="5"/>
      <c r="O173" s="5"/>
      <c r="P173" s="5"/>
      <c r="Q173" s="5"/>
      <c r="R173" s="5"/>
    </row>
    <row r="174" spans="1:19">
      <c r="A174" s="3">
        <v>46312</v>
      </c>
      <c r="B174" t="s">
        <v>182</v>
      </c>
      <c r="D174" s="5">
        <f t="shared" si="4"/>
        <v>48.57</v>
      </c>
      <c r="E174" s="5"/>
      <c r="F174" s="5"/>
      <c r="G174" s="5"/>
      <c r="H174" s="5"/>
      <c r="I174" s="5">
        <v>48.57</v>
      </c>
      <c r="J174" s="5"/>
      <c r="K174" s="5"/>
      <c r="L174" s="5"/>
      <c r="M174" s="5"/>
      <c r="N174" s="5"/>
      <c r="O174" s="5"/>
      <c r="P174" s="5"/>
      <c r="Q174" s="5"/>
      <c r="R174" s="5"/>
    </row>
    <row r="175" spans="1:19">
      <c r="B175" t="s">
        <v>198</v>
      </c>
      <c r="D175" s="5">
        <f t="shared" si="4"/>
        <v>91.5</v>
      </c>
      <c r="E175" s="5"/>
      <c r="F175" s="5"/>
      <c r="G175" s="5"/>
      <c r="H175" s="5">
        <v>91.5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spans="1:19">
      <c r="A176" s="3">
        <v>46316</v>
      </c>
      <c r="B176" t="s">
        <v>146</v>
      </c>
      <c r="D176" s="5">
        <f t="shared" si="4"/>
        <v>42.8</v>
      </c>
      <c r="E176" s="5"/>
      <c r="F176" s="5"/>
      <c r="G176" s="5">
        <v>42.8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spans="1:18">
      <c r="A177" s="3">
        <v>46319</v>
      </c>
      <c r="B177" t="s">
        <v>203</v>
      </c>
      <c r="D177" s="5">
        <f t="shared" si="4"/>
        <v>1887.36</v>
      </c>
      <c r="E177" s="5">
        <v>1887.36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spans="1:18">
      <c r="A178" s="3">
        <v>46320</v>
      </c>
      <c r="B178" t="s">
        <v>273</v>
      </c>
      <c r="D178" s="5">
        <f t="shared" si="4"/>
        <v>196.88</v>
      </c>
      <c r="E178" s="5">
        <v>196.88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spans="1:18">
      <c r="A179" s="3">
        <v>46312</v>
      </c>
      <c r="B179" t="s">
        <v>157</v>
      </c>
      <c r="D179" s="5">
        <f t="shared" si="4"/>
        <v>200</v>
      </c>
      <c r="E179" s="5"/>
      <c r="F179" s="5"/>
      <c r="G179" s="5"/>
      <c r="H179" s="5">
        <v>200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spans="1:18">
      <c r="B180" t="s">
        <v>162</v>
      </c>
      <c r="D180" s="5">
        <f t="shared" si="4"/>
        <v>92.65</v>
      </c>
      <c r="E180" s="5">
        <v>92.65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1:18">
      <c r="B181" t="s">
        <v>185</v>
      </c>
      <c r="D181" s="5">
        <f t="shared" si="4"/>
        <v>1143.8399999999999</v>
      </c>
      <c r="E181" s="5">
        <v>1143.8399999999999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spans="1:18">
      <c r="B182" t="s">
        <v>208</v>
      </c>
      <c r="D182" s="5">
        <f t="shared" si="4"/>
        <v>810.62</v>
      </c>
      <c r="E182" s="5">
        <v>810.62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spans="1:18">
      <c r="A183" s="3">
        <v>46327</v>
      </c>
      <c r="B183" t="s">
        <v>165</v>
      </c>
      <c r="D183" s="5">
        <f t="shared" si="4"/>
        <v>13.25</v>
      </c>
      <c r="E183" s="5"/>
      <c r="F183" s="5"/>
      <c r="G183" s="5"/>
      <c r="H183" s="5"/>
      <c r="I183" s="5"/>
      <c r="J183" s="5"/>
      <c r="K183" s="5"/>
      <c r="L183" s="5"/>
      <c r="M183" s="5"/>
      <c r="N183" s="5">
        <v>13.25</v>
      </c>
      <c r="O183" s="5"/>
      <c r="P183" s="5"/>
      <c r="Q183" s="5"/>
      <c r="R183" s="5"/>
    </row>
    <row r="184" spans="1:18">
      <c r="B184" t="s">
        <v>224</v>
      </c>
      <c r="D184" s="5">
        <f t="shared" si="4"/>
        <v>319</v>
      </c>
      <c r="E184" s="5"/>
      <c r="F184" s="5"/>
      <c r="G184" s="5"/>
      <c r="H184" s="5">
        <v>319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spans="1:18">
      <c r="A185" s="3">
        <v>46332</v>
      </c>
      <c r="B185" t="s">
        <v>157</v>
      </c>
      <c r="D185" s="5">
        <f t="shared" si="4"/>
        <v>381.75</v>
      </c>
      <c r="E185" s="5"/>
      <c r="F185" s="5"/>
      <c r="G185" s="5"/>
      <c r="H185" s="5">
        <v>381.75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spans="1:18">
      <c r="B186" t="s">
        <v>209</v>
      </c>
      <c r="D186" s="5">
        <f t="shared" si="4"/>
        <v>943.84</v>
      </c>
      <c r="E186" s="5">
        <v>943.84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>
      <c r="A187" s="3">
        <v>46333</v>
      </c>
      <c r="B187" t="s">
        <v>192</v>
      </c>
      <c r="D187" s="5">
        <f t="shared" si="4"/>
        <v>25.35</v>
      </c>
      <c r="E187" s="5"/>
      <c r="F187" s="5"/>
      <c r="G187" s="5"/>
      <c r="H187" s="5"/>
      <c r="I187" s="5"/>
      <c r="J187" s="5"/>
      <c r="K187" s="5"/>
      <c r="L187" s="5"/>
      <c r="M187" s="5">
        <v>25.35</v>
      </c>
      <c r="N187" s="5"/>
      <c r="O187" s="5"/>
      <c r="P187" s="5"/>
      <c r="Q187" s="5"/>
      <c r="R187" s="5"/>
    </row>
    <row r="188" spans="1:18">
      <c r="A188" s="3">
        <v>46337</v>
      </c>
      <c r="B188" t="s">
        <v>198</v>
      </c>
      <c r="D188" s="5">
        <f t="shared" si="4"/>
        <v>49.55</v>
      </c>
      <c r="E188" s="5"/>
      <c r="F188" s="5"/>
      <c r="G188" s="5"/>
      <c r="H188" s="5">
        <v>49.55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spans="1:18">
      <c r="B189" t="s">
        <v>182</v>
      </c>
      <c r="D189" s="5">
        <f t="shared" si="4"/>
        <v>3.95</v>
      </c>
      <c r="E189" s="5"/>
      <c r="F189" s="5"/>
      <c r="G189" s="5"/>
      <c r="H189" s="5"/>
      <c r="I189" s="5">
        <v>3.95</v>
      </c>
      <c r="J189" s="5"/>
      <c r="K189" s="5"/>
      <c r="L189" s="5"/>
      <c r="M189" s="5"/>
      <c r="N189" s="5"/>
      <c r="O189" s="5"/>
      <c r="P189" s="5"/>
      <c r="Q189" s="5"/>
      <c r="R189" s="5"/>
    </row>
    <row r="190" spans="1:18">
      <c r="B190" t="s">
        <v>157</v>
      </c>
      <c r="D190" s="5">
        <f t="shared" si="4"/>
        <v>131.25</v>
      </c>
      <c r="E190" s="5"/>
      <c r="F190" s="5"/>
      <c r="G190" s="5"/>
      <c r="H190" s="5">
        <v>131.25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spans="1:18">
      <c r="B191" t="s">
        <v>182</v>
      </c>
      <c r="D191" s="5">
        <f t="shared" si="4"/>
        <v>40.880000000000003</v>
      </c>
      <c r="E191" s="5"/>
      <c r="F191" s="5"/>
      <c r="G191" s="5"/>
      <c r="H191" s="5"/>
      <c r="I191" s="5">
        <f>40.92-0.04</f>
        <v>40.880000000000003</v>
      </c>
      <c r="J191" s="5"/>
      <c r="K191" s="5"/>
      <c r="L191" s="5"/>
      <c r="M191" s="5"/>
      <c r="N191" s="5"/>
      <c r="O191" s="5"/>
      <c r="P191" s="5"/>
      <c r="Q191" s="5"/>
      <c r="R191" s="5"/>
    </row>
    <row r="192" spans="1:18">
      <c r="A192" s="3">
        <v>46346</v>
      </c>
      <c r="B192" t="s">
        <v>146</v>
      </c>
      <c r="D192" s="5">
        <f t="shared" si="4"/>
        <v>42.8</v>
      </c>
      <c r="E192" s="5"/>
      <c r="F192" s="5"/>
      <c r="G192" s="5">
        <v>42.8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spans="1:19">
      <c r="A193" s="3">
        <v>46347</v>
      </c>
      <c r="B193" t="s">
        <v>278</v>
      </c>
      <c r="D193" s="5">
        <f t="shared" si="4"/>
        <v>772.5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>
        <v>772.5</v>
      </c>
      <c r="S193" t="s">
        <v>279</v>
      </c>
    </row>
    <row r="194" spans="1:19">
      <c r="A194" s="3">
        <v>46348</v>
      </c>
      <c r="B194" t="s">
        <v>182</v>
      </c>
      <c r="D194" s="5">
        <f t="shared" si="4"/>
        <v>20.080000000000002</v>
      </c>
      <c r="E194" s="5"/>
      <c r="F194" s="5"/>
      <c r="G194" s="5"/>
      <c r="H194" s="5"/>
      <c r="I194" s="5">
        <f>20.48-0.4</f>
        <v>20.080000000000002</v>
      </c>
      <c r="J194" s="5"/>
      <c r="K194" s="5"/>
      <c r="L194" s="5"/>
      <c r="M194" s="5"/>
      <c r="N194" s="5"/>
      <c r="O194" s="5"/>
      <c r="P194" s="5"/>
      <c r="Q194" s="5"/>
      <c r="R194" s="5"/>
    </row>
    <row r="195" spans="1:19">
      <c r="A195" s="3">
        <v>46348</v>
      </c>
      <c r="B195" t="s">
        <v>157</v>
      </c>
      <c r="D195" s="5">
        <f t="shared" si="4"/>
        <v>62.5</v>
      </c>
      <c r="E195" s="5"/>
      <c r="F195" s="5"/>
      <c r="G195" s="5"/>
      <c r="H195" s="5">
        <v>62.5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spans="1:19">
      <c r="A196" s="3">
        <v>46348</v>
      </c>
      <c r="B196" t="s">
        <v>215</v>
      </c>
      <c r="D196" s="5">
        <f t="shared" si="4"/>
        <v>140.27000000000001</v>
      </c>
      <c r="E196" s="5"/>
      <c r="F196" s="5"/>
      <c r="G196" s="5"/>
      <c r="H196" s="5">
        <v>140.27000000000001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spans="1:19">
      <c r="A197" s="3">
        <v>46354</v>
      </c>
      <c r="B197" t="s">
        <v>280</v>
      </c>
      <c r="D197" s="5">
        <f t="shared" si="4"/>
        <v>1641.41</v>
      </c>
      <c r="E197" s="5">
        <v>1641.41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spans="1:19">
      <c r="B198" t="s">
        <v>208</v>
      </c>
      <c r="D198" s="5">
        <f t="shared" si="4"/>
        <v>1146.3</v>
      </c>
      <c r="E198" s="5">
        <v>1146.3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spans="1:19">
      <c r="A199" s="3">
        <v>46355</v>
      </c>
      <c r="B199" t="s">
        <v>182</v>
      </c>
      <c r="D199" s="5">
        <f t="shared" si="4"/>
        <v>44.32</v>
      </c>
      <c r="E199" s="5"/>
      <c r="F199" s="5"/>
      <c r="G199" s="5"/>
      <c r="H199" s="5"/>
      <c r="I199" s="5">
        <f>9.61+35.51-0.8</f>
        <v>44.32</v>
      </c>
      <c r="J199" s="5"/>
      <c r="K199" s="5"/>
      <c r="L199" s="5"/>
      <c r="M199" s="5"/>
      <c r="N199" s="5"/>
      <c r="O199" s="5"/>
      <c r="P199" s="5"/>
      <c r="Q199" s="5"/>
      <c r="R199" s="5"/>
    </row>
    <row r="200" spans="1:19">
      <c r="A200" s="3">
        <v>46358</v>
      </c>
      <c r="B200" t="s">
        <v>162</v>
      </c>
      <c r="D200" s="5">
        <f t="shared" si="4"/>
        <v>92.65</v>
      </c>
      <c r="E200" s="5">
        <v>92.65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spans="1:19">
      <c r="B201" t="s">
        <v>165</v>
      </c>
      <c r="D201" s="5">
        <f t="shared" si="4"/>
        <v>15</v>
      </c>
      <c r="E201" s="5"/>
      <c r="F201" s="5"/>
      <c r="G201" s="5"/>
      <c r="H201" s="5"/>
      <c r="I201" s="5"/>
      <c r="J201" s="5"/>
      <c r="K201" s="5"/>
      <c r="L201" s="5"/>
      <c r="M201" s="5"/>
      <c r="N201" s="5">
        <v>15</v>
      </c>
      <c r="O201" s="5"/>
      <c r="P201" s="5"/>
      <c r="Q201" s="5"/>
      <c r="R201" s="5"/>
    </row>
    <row r="202" spans="1:19">
      <c r="B202" t="s">
        <v>164</v>
      </c>
      <c r="D202" s="5">
        <f t="shared" si="4"/>
        <v>319</v>
      </c>
      <c r="E202" s="5"/>
      <c r="F202" s="5"/>
      <c r="G202" s="5"/>
      <c r="H202" s="5">
        <v>319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1:19">
      <c r="A203" s="3">
        <v>46359</v>
      </c>
      <c r="B203" t="s">
        <v>157</v>
      </c>
      <c r="D203" s="5">
        <f t="shared" si="4"/>
        <v>106.25</v>
      </c>
      <c r="E203" s="5"/>
      <c r="F203" s="5"/>
      <c r="G203" s="5"/>
      <c r="H203" s="5">
        <v>106.25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spans="1:19">
      <c r="A204" s="3">
        <v>46361</v>
      </c>
      <c r="B204" t="s">
        <v>182</v>
      </c>
      <c r="D204" s="5">
        <f t="shared" si="4"/>
        <v>67.08</v>
      </c>
      <c r="E204" s="5"/>
      <c r="F204" s="5"/>
      <c r="G204" s="5"/>
      <c r="H204" s="5"/>
      <c r="I204" s="5">
        <f>10.92+24.96+3.65</f>
        <v>39.53</v>
      </c>
      <c r="J204" s="5"/>
      <c r="K204" s="5"/>
      <c r="L204" s="5"/>
      <c r="M204" s="5">
        <v>27.55</v>
      </c>
      <c r="N204" s="5"/>
      <c r="O204" s="5"/>
      <c r="P204" s="5"/>
      <c r="Q204" s="5"/>
      <c r="R204" s="5"/>
    </row>
    <row r="205" spans="1:19">
      <c r="B205" t="s">
        <v>283</v>
      </c>
      <c r="D205" s="5">
        <f t="shared" si="4"/>
        <v>160.77000000000001</v>
      </c>
      <c r="E205" s="5">
        <v>160.77000000000001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9">
      <c r="A206" s="3">
        <v>46366</v>
      </c>
      <c r="B206" t="s">
        <v>182</v>
      </c>
      <c r="D206" s="5">
        <f t="shared" si="4"/>
        <v>3.95</v>
      </c>
      <c r="E206" s="5"/>
      <c r="F206" s="5"/>
      <c r="G206" s="5"/>
      <c r="H206" s="5"/>
      <c r="I206" s="5">
        <v>3.95</v>
      </c>
      <c r="J206" s="5"/>
      <c r="K206" s="5"/>
      <c r="L206" s="5"/>
      <c r="M206" s="5"/>
      <c r="N206" s="5"/>
      <c r="O206" s="5"/>
      <c r="P206" s="5"/>
      <c r="Q206" s="5"/>
      <c r="R206" s="5"/>
    </row>
    <row r="207" spans="1:19">
      <c r="A207" s="3">
        <v>46366</v>
      </c>
      <c r="B207" t="s">
        <v>285</v>
      </c>
      <c r="D207" s="5">
        <f t="shared" si="4"/>
        <v>131.25</v>
      </c>
      <c r="E207" s="5"/>
      <c r="F207" s="5"/>
      <c r="G207" s="5"/>
      <c r="H207" s="5">
        <v>131.25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9">
      <c r="A208" s="3">
        <v>46368</v>
      </c>
      <c r="B208" t="s">
        <v>182</v>
      </c>
      <c r="D208" s="5">
        <f t="shared" si="4"/>
        <v>69.110000000000014</v>
      </c>
      <c r="E208" s="5"/>
      <c r="F208" s="5"/>
      <c r="G208" s="5"/>
      <c r="H208" s="5"/>
      <c r="I208" s="5"/>
      <c r="J208" s="5"/>
      <c r="K208" s="5"/>
      <c r="L208" s="5"/>
      <c r="M208" s="5">
        <f>55.63+24.16-10.68</f>
        <v>69.110000000000014</v>
      </c>
      <c r="N208" s="5"/>
      <c r="O208" s="5"/>
      <c r="P208" s="5"/>
      <c r="Q208" s="5"/>
      <c r="R208" s="5"/>
    </row>
    <row r="209" spans="1:19">
      <c r="A209" s="3">
        <v>46369</v>
      </c>
      <c r="B209" t="s">
        <v>289</v>
      </c>
      <c r="D209" s="5">
        <f t="shared" si="4"/>
        <v>41.89</v>
      </c>
      <c r="E209" s="5"/>
      <c r="F209" s="5"/>
      <c r="G209" s="5">
        <v>41.89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t="s">
        <v>290</v>
      </c>
    </row>
    <row r="210" spans="1:19">
      <c r="A210" s="3">
        <v>46372</v>
      </c>
      <c r="B210" t="s">
        <v>192</v>
      </c>
      <c r="D210" s="5">
        <f t="shared" si="4"/>
        <v>13.5</v>
      </c>
      <c r="E210" s="5"/>
      <c r="F210" s="5"/>
      <c r="G210" s="5"/>
      <c r="H210" s="5"/>
      <c r="I210" s="5">
        <v>13.5</v>
      </c>
      <c r="J210" s="5"/>
      <c r="K210" s="5"/>
      <c r="L210" s="5"/>
      <c r="M210" s="5"/>
      <c r="N210" s="5"/>
      <c r="O210" s="5"/>
      <c r="P210" s="5"/>
      <c r="Q210" s="5"/>
      <c r="R210" s="5"/>
    </row>
    <row r="211" spans="1:19">
      <c r="A211" s="3">
        <v>46373</v>
      </c>
      <c r="B211" t="s">
        <v>292</v>
      </c>
      <c r="D211" s="5">
        <f t="shared" si="4"/>
        <v>85.55</v>
      </c>
      <c r="E211" s="5"/>
      <c r="F211" s="5"/>
      <c r="G211" s="5"/>
      <c r="H211" s="5"/>
      <c r="I211" s="5"/>
      <c r="J211" s="5"/>
      <c r="K211" s="5"/>
      <c r="L211" s="5"/>
      <c r="M211" s="5">
        <v>85.55</v>
      </c>
      <c r="N211" s="5"/>
      <c r="O211" s="5"/>
      <c r="P211" s="5"/>
      <c r="Q211" s="5"/>
      <c r="R211" s="5"/>
    </row>
    <row r="212" spans="1:19">
      <c r="A212" s="3">
        <v>46375</v>
      </c>
      <c r="B212" t="s">
        <v>146</v>
      </c>
      <c r="D212" s="5">
        <f t="shared" si="4"/>
        <v>42.8</v>
      </c>
      <c r="E212" s="5"/>
      <c r="F212" s="5"/>
      <c r="G212" s="5">
        <v>42.8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9">
      <c r="B213" t="s">
        <v>182</v>
      </c>
      <c r="D213" s="5">
        <f t="shared" si="4"/>
        <v>92.38</v>
      </c>
      <c r="E213" s="5"/>
      <c r="F213" s="5"/>
      <c r="G213" s="5"/>
      <c r="H213" s="5"/>
      <c r="I213" s="5">
        <f>8.6+2.69</f>
        <v>11.29</v>
      </c>
      <c r="J213" s="5"/>
      <c r="K213" s="5"/>
      <c r="L213" s="5"/>
      <c r="M213" s="5">
        <v>81.09</v>
      </c>
      <c r="N213" s="5"/>
      <c r="O213" s="5"/>
      <c r="P213" s="5"/>
      <c r="Q213" s="5"/>
      <c r="R213" s="5"/>
    </row>
    <row r="214" spans="1:19">
      <c r="A214" s="3">
        <v>46379</v>
      </c>
      <c r="B214" t="s">
        <v>185</v>
      </c>
      <c r="D214" s="5">
        <f t="shared" si="4"/>
        <v>1641.86</v>
      </c>
      <c r="E214" s="5">
        <v>1641.86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9">
      <c r="B215" t="s">
        <v>208</v>
      </c>
      <c r="D215" s="5">
        <f t="shared" si="4"/>
        <v>740.79</v>
      </c>
      <c r="E215" s="5">
        <v>740.79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9">
      <c r="B216" t="s">
        <v>157</v>
      </c>
      <c r="D216" s="5">
        <f t="shared" si="4"/>
        <v>237.5</v>
      </c>
      <c r="E216" s="5"/>
      <c r="F216" s="5"/>
      <c r="G216" s="5"/>
      <c r="H216" s="5">
        <v>237.5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9">
      <c r="B217" t="s">
        <v>162</v>
      </c>
      <c r="C217" t="s">
        <v>293</v>
      </c>
      <c r="D217" s="5">
        <f t="shared" si="4"/>
        <v>2.81</v>
      </c>
      <c r="E217" s="5">
        <v>2.81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9">
      <c r="B218" t="s">
        <v>294</v>
      </c>
      <c r="D218" s="5">
        <f t="shared" si="4"/>
        <v>125</v>
      </c>
      <c r="E218" s="5"/>
      <c r="F218" s="5"/>
      <c r="G218" s="5"/>
      <c r="H218" s="5">
        <v>125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t="s">
        <v>295</v>
      </c>
    </row>
    <row r="219" spans="1:19">
      <c r="A219" s="3">
        <v>46024</v>
      </c>
      <c r="B219" t="s">
        <v>164</v>
      </c>
      <c r="D219" s="5">
        <f t="shared" si="4"/>
        <v>319</v>
      </c>
      <c r="E219" s="5"/>
      <c r="F219" s="5"/>
      <c r="G219" s="5"/>
      <c r="H219" s="5">
        <v>319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9">
      <c r="B220" t="s">
        <v>165</v>
      </c>
      <c r="D220" s="5">
        <f t="shared" si="4"/>
        <v>15</v>
      </c>
      <c r="E220" s="5"/>
      <c r="F220" s="5"/>
      <c r="G220" s="5"/>
      <c r="H220" s="5"/>
      <c r="I220" s="5"/>
      <c r="J220" s="5"/>
      <c r="K220" s="5"/>
      <c r="L220" s="5"/>
      <c r="M220" s="5"/>
      <c r="N220" s="5">
        <v>15</v>
      </c>
      <c r="O220" s="5"/>
      <c r="P220" s="5"/>
      <c r="Q220" s="5"/>
      <c r="R220" s="5"/>
    </row>
    <row r="221" spans="1:19">
      <c r="A221" s="3">
        <v>46031</v>
      </c>
      <c r="B221" t="s">
        <v>182</v>
      </c>
      <c r="D221" s="5">
        <f t="shared" si="4"/>
        <v>53.29</v>
      </c>
      <c r="E221" s="5"/>
      <c r="F221" s="5"/>
      <c r="G221" s="5"/>
      <c r="H221" s="5"/>
      <c r="I221" s="5">
        <f>23.01-1.09</f>
        <v>21.92</v>
      </c>
      <c r="J221" s="5"/>
      <c r="K221" s="5"/>
      <c r="L221" s="5"/>
      <c r="M221" s="5">
        <f>10.38+20.99</f>
        <v>31.369999999999997</v>
      </c>
      <c r="N221" s="5"/>
      <c r="O221" s="5"/>
      <c r="P221" s="5"/>
      <c r="Q221" s="5"/>
      <c r="R221" s="5"/>
    </row>
    <row r="222" spans="1:19">
      <c r="A222" s="3">
        <v>46032</v>
      </c>
      <c r="B222" t="s">
        <v>215</v>
      </c>
      <c r="D222" s="5">
        <f t="shared" si="4"/>
        <v>147.85</v>
      </c>
      <c r="E222" s="5"/>
      <c r="F222" s="5"/>
      <c r="G222" s="5"/>
      <c r="H222" s="5">
        <v>147.85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9">
      <c r="B223" t="s">
        <v>198</v>
      </c>
      <c r="D223" s="5">
        <f t="shared" si="4"/>
        <v>26.16</v>
      </c>
      <c r="E223" s="5"/>
      <c r="F223" s="5"/>
      <c r="G223" s="5"/>
      <c r="H223" s="5">
        <v>26.16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9">
      <c r="B224" t="s">
        <v>198</v>
      </c>
      <c r="D224" s="5">
        <f t="shared" si="4"/>
        <v>91.5</v>
      </c>
      <c r="E224" s="5"/>
      <c r="F224" s="5"/>
      <c r="G224" s="5"/>
      <c r="H224" s="5">
        <v>91.5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B225" t="s">
        <v>182</v>
      </c>
      <c r="D225" s="5">
        <f t="shared" si="4"/>
        <v>52.29</v>
      </c>
      <c r="E225" s="5"/>
      <c r="F225" s="5"/>
      <c r="G225" s="5"/>
      <c r="H225" s="5"/>
      <c r="I225" s="5">
        <f>7.45+3.05</f>
        <v>10.5</v>
      </c>
      <c r="J225" s="5"/>
      <c r="K225" s="5"/>
      <c r="L225" s="5"/>
      <c r="M225" s="5">
        <f>31.09+10.7</f>
        <v>41.79</v>
      </c>
      <c r="N225" s="5"/>
      <c r="O225" s="5"/>
      <c r="P225" s="5"/>
      <c r="Q225" s="5"/>
      <c r="R225" s="5"/>
    </row>
    <row r="226" spans="1:18">
      <c r="A226" s="3">
        <v>46043</v>
      </c>
      <c r="B226" t="s">
        <v>146</v>
      </c>
      <c r="D226" s="5">
        <f t="shared" si="4"/>
        <v>42.8</v>
      </c>
      <c r="E226" s="5"/>
      <c r="F226" s="5"/>
      <c r="G226" s="5">
        <v>42.8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3">
        <v>46045</v>
      </c>
      <c r="B227" t="s">
        <v>203</v>
      </c>
      <c r="D227" s="5">
        <f t="shared" si="4"/>
        <v>1775.77</v>
      </c>
      <c r="E227" s="5">
        <v>1775.77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B228" t="s">
        <v>182</v>
      </c>
      <c r="D228" s="5">
        <f t="shared" si="4"/>
        <v>66.94</v>
      </c>
      <c r="E228" s="5"/>
      <c r="F228" s="5"/>
      <c r="G228" s="5"/>
      <c r="H228" s="5"/>
      <c r="I228" s="5">
        <f>18.77+19.18+3.9</f>
        <v>41.85</v>
      </c>
      <c r="J228" s="5"/>
      <c r="K228" s="5"/>
      <c r="L228" s="5"/>
      <c r="M228" s="5">
        <f>16.27+8.82</f>
        <v>25.09</v>
      </c>
      <c r="N228" s="5"/>
      <c r="O228" s="5"/>
      <c r="P228" s="5"/>
      <c r="Q228" s="5"/>
      <c r="R228" s="5"/>
    </row>
    <row r="229" spans="1:18">
      <c r="A229" s="3">
        <v>46031</v>
      </c>
      <c r="B229" t="s">
        <v>182</v>
      </c>
      <c r="D229" s="5">
        <f t="shared" si="4"/>
        <v>3.95</v>
      </c>
      <c r="E229" s="5"/>
      <c r="F229" s="5"/>
      <c r="G229" s="5"/>
      <c r="H229" s="5"/>
      <c r="I229" s="5">
        <v>3.95</v>
      </c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3">
        <v>46051</v>
      </c>
      <c r="B230" t="s">
        <v>157</v>
      </c>
      <c r="D230" s="5">
        <f t="shared" si="4"/>
        <v>118.75</v>
      </c>
      <c r="E230" s="5"/>
      <c r="F230" s="5"/>
      <c r="G230" s="5"/>
      <c r="H230" s="5">
        <v>118.75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3">
        <v>46052</v>
      </c>
      <c r="B231" t="s">
        <v>162</v>
      </c>
      <c r="C231" t="s">
        <v>300</v>
      </c>
      <c r="D231" s="5">
        <f t="shared" si="4"/>
        <v>2.81</v>
      </c>
      <c r="E231" s="5">
        <v>2.81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B232" t="s">
        <v>208</v>
      </c>
      <c r="D232" s="5">
        <f t="shared" si="4"/>
        <v>709.38</v>
      </c>
      <c r="E232" s="5">
        <v>709.38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B233" t="s">
        <v>185</v>
      </c>
      <c r="D233" s="5">
        <f t="shared" si="4"/>
        <v>1642.04</v>
      </c>
      <c r="E233" s="5">
        <v>1642.04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B234" t="s">
        <v>299</v>
      </c>
      <c r="C234" t="s">
        <v>293</v>
      </c>
      <c r="D234" s="5">
        <f t="shared" si="4"/>
        <v>37.03</v>
      </c>
      <c r="E234" s="5">
        <v>37.03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B235" t="s">
        <v>301</v>
      </c>
      <c r="D235" s="5">
        <f t="shared" si="4"/>
        <v>160.77000000000001</v>
      </c>
      <c r="E235" s="5">
        <v>160.77000000000001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B236" t="s">
        <v>192</v>
      </c>
      <c r="D236" s="5">
        <f t="shared" si="4"/>
        <v>6.1</v>
      </c>
      <c r="E236" s="5"/>
      <c r="F236" s="5"/>
      <c r="G236" s="5"/>
      <c r="H236" s="5"/>
      <c r="I236" s="5">
        <f>1.5+1.5</f>
        <v>3</v>
      </c>
      <c r="J236" s="5"/>
      <c r="K236" s="5"/>
      <c r="L236" s="5"/>
      <c r="M236" s="5">
        <f>3.1</f>
        <v>3.1</v>
      </c>
      <c r="N236" s="5"/>
      <c r="O236" s="5"/>
      <c r="P236" s="5"/>
      <c r="Q236" s="5"/>
      <c r="R236" s="5"/>
    </row>
    <row r="237" spans="1:18">
      <c r="B237" t="s">
        <v>182</v>
      </c>
      <c r="D237" s="5">
        <f t="shared" si="4"/>
        <v>51.15</v>
      </c>
      <c r="E237" s="5"/>
      <c r="F237" s="5"/>
      <c r="G237" s="5"/>
      <c r="H237" s="5"/>
      <c r="I237" s="5"/>
      <c r="J237" s="5"/>
      <c r="K237" s="5"/>
      <c r="L237" s="5"/>
      <c r="M237" s="5">
        <v>51.15</v>
      </c>
      <c r="N237" s="5"/>
      <c r="O237" s="5"/>
      <c r="P237" s="5"/>
      <c r="Q237" s="5"/>
      <c r="R237" s="5"/>
    </row>
    <row r="238" spans="1:18">
      <c r="A238" s="3">
        <v>46053</v>
      </c>
      <c r="B238" t="s">
        <v>233</v>
      </c>
      <c r="D238" s="5">
        <f t="shared" si="4"/>
        <v>1227.5</v>
      </c>
      <c r="E238" s="5"/>
      <c r="F238" s="5"/>
      <c r="G238" s="5"/>
      <c r="H238" s="5">
        <v>1227.5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B239" t="s">
        <v>157</v>
      </c>
      <c r="D239" s="5">
        <f t="shared" si="4"/>
        <v>93.75</v>
      </c>
      <c r="E239" s="5"/>
      <c r="F239" s="5"/>
      <c r="G239" s="5"/>
      <c r="H239" s="5">
        <v>93.75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3">
        <v>46056</v>
      </c>
      <c r="B240" t="s">
        <v>165</v>
      </c>
      <c r="D240" s="5">
        <f t="shared" si="4"/>
        <v>15</v>
      </c>
      <c r="E240" s="5"/>
      <c r="F240" s="5"/>
      <c r="G240" s="5"/>
      <c r="H240" s="5"/>
      <c r="I240" s="5"/>
      <c r="J240" s="5"/>
      <c r="K240" s="5"/>
      <c r="L240" s="5"/>
      <c r="M240" s="5"/>
      <c r="N240" s="5">
        <v>15</v>
      </c>
      <c r="O240" s="5"/>
      <c r="P240" s="5"/>
      <c r="Q240" s="5"/>
      <c r="R240" s="5"/>
    </row>
    <row r="241" spans="1:18">
      <c r="B241" t="s">
        <v>164</v>
      </c>
      <c r="D241" s="5">
        <f t="shared" si="4"/>
        <v>319</v>
      </c>
      <c r="E241" s="5"/>
      <c r="F241" s="5"/>
      <c r="G241" s="5"/>
      <c r="H241" s="5">
        <v>319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3">
        <v>46061</v>
      </c>
      <c r="B242" t="s">
        <v>302</v>
      </c>
      <c r="D242" s="5">
        <f t="shared" si="4"/>
        <v>30</v>
      </c>
      <c r="E242" s="5"/>
      <c r="F242" s="5"/>
      <c r="G242" s="5"/>
      <c r="H242" s="5"/>
      <c r="I242" s="5">
        <v>30</v>
      </c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3">
        <v>46064</v>
      </c>
      <c r="B243" t="s">
        <v>182</v>
      </c>
      <c r="D243" s="5">
        <f t="shared" si="4"/>
        <v>3.95</v>
      </c>
      <c r="E243" s="5"/>
      <c r="F243" s="5"/>
      <c r="G243" s="5"/>
      <c r="H243" s="5"/>
      <c r="I243" s="5">
        <v>3.95</v>
      </c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B244" t="s">
        <v>303</v>
      </c>
      <c r="D244" s="5">
        <f t="shared" si="4"/>
        <v>160.77000000000001</v>
      </c>
      <c r="E244" s="5">
        <v>160.77000000000001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3">
        <v>46066</v>
      </c>
      <c r="B245" t="s">
        <v>182</v>
      </c>
      <c r="D245" s="5">
        <f t="shared" si="4"/>
        <v>50.58</v>
      </c>
      <c r="E245" s="5"/>
      <c r="F245" s="5"/>
      <c r="G245" s="5"/>
      <c r="H245" s="5"/>
      <c r="I245" s="5">
        <f>20.81+2.02</f>
        <v>22.83</v>
      </c>
      <c r="J245" s="5"/>
      <c r="K245" s="5"/>
      <c r="L245" s="5"/>
      <c r="M245" s="5">
        <f>8.7+19.05</f>
        <v>27.75</v>
      </c>
      <c r="N245" s="5"/>
      <c r="O245" s="5"/>
      <c r="P245" s="5"/>
      <c r="Q245" s="5"/>
      <c r="R245" s="5"/>
    </row>
    <row r="246" spans="1:18">
      <c r="B246" t="s">
        <v>157</v>
      </c>
      <c r="D246" s="5">
        <f t="shared" si="4"/>
        <v>137.5</v>
      </c>
      <c r="E246" s="5"/>
      <c r="F246" s="5"/>
      <c r="G246" s="5"/>
      <c r="H246" s="5">
        <v>137.5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3">
        <v>46072</v>
      </c>
      <c r="B247" t="s">
        <v>303</v>
      </c>
      <c r="D247" s="5">
        <f t="shared" si="4"/>
        <v>160.77000000000001</v>
      </c>
      <c r="E247" s="5">
        <v>160.77000000000001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3"/>
      <c r="B248" t="s">
        <v>146</v>
      </c>
      <c r="D248" s="5">
        <f t="shared" si="4"/>
        <v>42.8</v>
      </c>
      <c r="E248" s="5"/>
      <c r="F248" s="5"/>
      <c r="G248" s="5">
        <v>42.8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B249" t="s">
        <v>182</v>
      </c>
      <c r="D249" s="5">
        <f t="shared" si="4"/>
        <v>53.84</v>
      </c>
      <c r="E249" s="5"/>
      <c r="F249" s="5"/>
      <c r="G249" s="5"/>
      <c r="H249" s="5"/>
      <c r="I249" s="5">
        <v>13.77</v>
      </c>
      <c r="J249" s="5"/>
      <c r="K249" s="5"/>
      <c r="L249" s="5"/>
      <c r="M249" s="5">
        <f>12.05+28.02</f>
        <v>40.07</v>
      </c>
      <c r="N249" s="5"/>
      <c r="O249" s="5"/>
      <c r="P249" s="5"/>
      <c r="Q249" s="5"/>
      <c r="R249" s="5"/>
    </row>
    <row r="250" spans="1:18">
      <c r="A250" s="3">
        <v>46077</v>
      </c>
      <c r="B250" t="s">
        <v>157</v>
      </c>
      <c r="D250" s="5">
        <f t="shared" si="4"/>
        <v>112.5</v>
      </c>
      <c r="E250" s="5"/>
      <c r="F250" s="5"/>
      <c r="G250" s="5"/>
      <c r="H250" s="5">
        <v>112.5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B251" t="s">
        <v>304</v>
      </c>
      <c r="D251" s="5">
        <f t="shared" si="4"/>
        <v>112.5</v>
      </c>
      <c r="E251" s="5"/>
      <c r="F251" s="5"/>
      <c r="G251" s="5"/>
      <c r="H251" s="5">
        <v>112.5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3">
        <v>46078</v>
      </c>
      <c r="B252" t="s">
        <v>305</v>
      </c>
      <c r="D252" s="5">
        <f t="shared" si="4"/>
        <v>211.2</v>
      </c>
      <c r="E252" s="5"/>
      <c r="F252" s="5"/>
      <c r="G252" s="5"/>
      <c r="H252" s="5">
        <v>211.2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B253" t="s">
        <v>182</v>
      </c>
      <c r="D253" s="5">
        <f t="shared" si="4"/>
        <v>47.39</v>
      </c>
      <c r="E253" s="5"/>
      <c r="F253" s="5"/>
      <c r="G253" s="5"/>
      <c r="H253" s="5"/>
      <c r="I253" s="5">
        <v>14.63</v>
      </c>
      <c r="J253" s="5"/>
      <c r="K253" s="5"/>
      <c r="L253" s="5"/>
      <c r="M253" s="5">
        <f>17.74+15.02</f>
        <v>32.76</v>
      </c>
      <c r="N253" s="5"/>
      <c r="O253" s="5"/>
      <c r="P253" s="5"/>
      <c r="Q253" s="5"/>
      <c r="R253" s="5"/>
    </row>
    <row r="254" spans="1:18">
      <c r="A254" s="3">
        <v>46081</v>
      </c>
      <c r="B254" t="s">
        <v>299</v>
      </c>
      <c r="D254" s="5">
        <f t="shared" si="4"/>
        <v>37.03</v>
      </c>
      <c r="E254" s="5">
        <v>37.03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B255" t="s">
        <v>185</v>
      </c>
      <c r="D255" s="5">
        <f t="shared" si="4"/>
        <v>1714.59</v>
      </c>
      <c r="E255" s="5">
        <v>1714.59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B256" t="s">
        <v>208</v>
      </c>
      <c r="D256" s="5">
        <f t="shared" si="4"/>
        <v>706.57</v>
      </c>
      <c r="E256" s="5">
        <v>706.57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B257" t="s">
        <v>306</v>
      </c>
      <c r="D257" s="5">
        <f t="shared" si="4"/>
        <v>209.76</v>
      </c>
      <c r="E257" s="5">
        <v>209.76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B258" t="s">
        <v>162</v>
      </c>
      <c r="D258" s="5">
        <f t="shared" si="4"/>
        <v>2.81</v>
      </c>
      <c r="E258" s="5">
        <v>2.81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3">
        <v>46084</v>
      </c>
      <c r="B259" t="s">
        <v>165</v>
      </c>
      <c r="D259" s="5">
        <f t="shared" si="4"/>
        <v>15</v>
      </c>
      <c r="E259" s="5"/>
      <c r="F259" s="5"/>
      <c r="G259" s="5"/>
      <c r="H259" s="5"/>
      <c r="I259" s="5"/>
      <c r="J259" s="5"/>
      <c r="K259" s="5"/>
      <c r="L259" s="5"/>
      <c r="M259" s="5"/>
      <c r="N259" s="5">
        <v>15</v>
      </c>
      <c r="O259" s="5"/>
      <c r="P259" s="5"/>
      <c r="Q259" s="5"/>
      <c r="R259" s="5"/>
    </row>
    <row r="260" spans="1:18">
      <c r="B260" t="s">
        <v>164</v>
      </c>
      <c r="D260" s="5">
        <f t="shared" si="4"/>
        <v>319</v>
      </c>
      <c r="E260" s="5"/>
      <c r="F260" s="5"/>
      <c r="G260" s="5"/>
      <c r="H260" s="5">
        <v>319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B261" t="s">
        <v>182</v>
      </c>
      <c r="D261" s="5">
        <f t="shared" si="4"/>
        <v>77.56</v>
      </c>
      <c r="E261" s="5"/>
      <c r="F261" s="5"/>
      <c r="G261" s="5"/>
      <c r="H261" s="5"/>
      <c r="I261" s="5"/>
      <c r="J261" s="5"/>
      <c r="K261" s="5"/>
      <c r="L261" s="5"/>
      <c r="M261" s="5">
        <f>48.76+3.52</f>
        <v>52.28</v>
      </c>
      <c r="N261" s="5">
        <v>25.28</v>
      </c>
      <c r="O261" s="5"/>
      <c r="P261" s="5"/>
      <c r="Q261" s="5"/>
      <c r="R261" s="5"/>
    </row>
    <row r="262" spans="1:18">
      <c r="A262" s="3">
        <v>46092</v>
      </c>
      <c r="B262" t="s">
        <v>182</v>
      </c>
      <c r="D262" s="5">
        <f t="shared" si="4"/>
        <v>3.95</v>
      </c>
      <c r="E262" s="5"/>
      <c r="F262" s="5"/>
      <c r="G262" s="5"/>
      <c r="H262" s="5"/>
      <c r="I262" s="5">
        <v>3.95</v>
      </c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B263" t="s">
        <v>304</v>
      </c>
      <c r="D263" s="5">
        <f t="shared" si="4"/>
        <v>108.8</v>
      </c>
      <c r="E263" s="5"/>
      <c r="F263" s="5"/>
      <c r="G263" s="5"/>
      <c r="H263" s="5">
        <v>108.8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B264" t="s">
        <v>304</v>
      </c>
      <c r="D264" s="5">
        <f t="shared" si="4"/>
        <v>106.25</v>
      </c>
      <c r="E264" s="5"/>
      <c r="F264" s="5"/>
      <c r="G264" s="5"/>
      <c r="H264" s="5">
        <v>106.25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B265" t="s">
        <v>198</v>
      </c>
      <c r="D265" s="5">
        <f t="shared" si="4"/>
        <v>50.88</v>
      </c>
      <c r="E265" s="5"/>
      <c r="F265" s="5"/>
      <c r="G265" s="5"/>
      <c r="H265" s="5">
        <v>50.88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B266" t="s">
        <v>308</v>
      </c>
      <c r="D266" s="5">
        <f t="shared" si="4"/>
        <v>160.77000000000001</v>
      </c>
      <c r="E266" s="5">
        <v>160.77000000000001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3">
        <v>46094</v>
      </c>
      <c r="B267" t="s">
        <v>182</v>
      </c>
      <c r="D267" s="5">
        <f t="shared" si="4"/>
        <v>87.29</v>
      </c>
      <c r="E267" s="5"/>
      <c r="F267" s="5"/>
      <c r="G267" s="5"/>
      <c r="H267" s="5"/>
      <c r="I267" s="5">
        <f>18.26</f>
        <v>18.260000000000002</v>
      </c>
      <c r="J267" s="5"/>
      <c r="K267" s="5"/>
      <c r="L267" s="5"/>
      <c r="M267" s="5">
        <f>14.83+28.1+26.1</f>
        <v>69.03</v>
      </c>
      <c r="N267" s="5"/>
      <c r="O267" s="5"/>
      <c r="P267" s="5"/>
      <c r="Q267" s="5"/>
      <c r="R267" s="5"/>
    </row>
    <row r="268" spans="1:18">
      <c r="B268" t="s">
        <v>309</v>
      </c>
      <c r="D268" s="5">
        <f t="shared" si="4"/>
        <v>111.29</v>
      </c>
      <c r="E268" s="5"/>
      <c r="F268" s="5"/>
      <c r="G268" s="5"/>
      <c r="H268" s="5">
        <v>111.29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C271" t="s">
        <v>166</v>
      </c>
      <c r="D271" s="5">
        <f t="shared" ref="D271:R271" si="5">SUM(D5:D268)</f>
        <v>98061.770000000033</v>
      </c>
      <c r="E271" s="5">
        <f t="shared" si="5"/>
        <v>49840.419999999984</v>
      </c>
      <c r="F271" s="5">
        <f t="shared" si="5"/>
        <v>0</v>
      </c>
      <c r="G271" s="5">
        <f t="shared" si="5"/>
        <v>1880.8599999999997</v>
      </c>
      <c r="H271" s="5">
        <f t="shared" si="5"/>
        <v>13789.11</v>
      </c>
      <c r="I271" s="5">
        <f t="shared" si="5"/>
        <v>2224.06</v>
      </c>
      <c r="J271" s="5">
        <f t="shared" si="5"/>
        <v>0</v>
      </c>
      <c r="K271" s="5">
        <f t="shared" si="5"/>
        <v>2160</v>
      </c>
      <c r="L271" s="5">
        <f t="shared" si="5"/>
        <v>0</v>
      </c>
      <c r="M271" s="5">
        <f t="shared" si="5"/>
        <v>810.63</v>
      </c>
      <c r="N271" s="5">
        <f t="shared" si="5"/>
        <v>1947.6999999999998</v>
      </c>
      <c r="O271" s="5">
        <f t="shared" si="5"/>
        <v>0</v>
      </c>
      <c r="P271" s="37">
        <f t="shared" si="5"/>
        <v>24636.49</v>
      </c>
      <c r="Q271" s="5">
        <f t="shared" si="5"/>
        <v>0</v>
      </c>
      <c r="R271" s="5">
        <f t="shared" si="5"/>
        <v>772.5</v>
      </c>
    </row>
    <row r="272" spans="1:18">
      <c r="D272">
        <f>D271-SUM(E271:R271)</f>
        <v>0</v>
      </c>
      <c r="E272" t="s">
        <v>178</v>
      </c>
      <c r="F272" t="s">
        <v>179</v>
      </c>
      <c r="G272" t="s">
        <v>176</v>
      </c>
      <c r="H272" t="s">
        <v>177</v>
      </c>
      <c r="I272" t="s">
        <v>176</v>
      </c>
      <c r="J272" t="s">
        <v>177</v>
      </c>
      <c r="M272" t="s">
        <v>94</v>
      </c>
      <c r="N272" t="s">
        <v>94</v>
      </c>
      <c r="O272" t="s">
        <v>94</v>
      </c>
      <c r="P272" t="s">
        <v>94</v>
      </c>
      <c r="Q272" t="s">
        <v>94</v>
      </c>
      <c r="R272" t="s">
        <v>94</v>
      </c>
    </row>
    <row r="274" spans="12:17">
      <c r="L274" t="s">
        <v>187</v>
      </c>
    </row>
    <row r="275" spans="12:17">
      <c r="P275" s="5"/>
      <c r="Q275" t="s">
        <v>369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2B70-6269-4607-B6C5-BFF9D17D2E70}">
  <dimension ref="A1:E14"/>
  <sheetViews>
    <sheetView tabSelected="1" workbookViewId="0">
      <selection activeCell="E14" sqref="E14"/>
    </sheetView>
  </sheetViews>
  <sheetFormatPr baseColWidth="10" defaultColWidth="8.83203125" defaultRowHeight="14"/>
  <cols>
    <col min="1" max="1" width="29.33203125" bestFit="1" customWidth="1"/>
    <col min="2" max="2" width="9.83203125" bestFit="1" customWidth="1"/>
  </cols>
  <sheetData>
    <row r="1" spans="1:5">
      <c r="A1" s="8" t="s">
        <v>167</v>
      </c>
      <c r="B1" s="8"/>
    </row>
    <row r="4" spans="1:5">
      <c r="A4" t="s">
        <v>168</v>
      </c>
      <c r="B4" s="32">
        <v>48712.22</v>
      </c>
    </row>
    <row r="5" spans="1:5">
      <c r="B5" s="32"/>
    </row>
    <row r="6" spans="1:5">
      <c r="A6" t="s">
        <v>169</v>
      </c>
      <c r="B6" s="32">
        <f>'Bank Income'!D210</f>
        <v>73312.33</v>
      </c>
    </row>
    <row r="7" spans="1:5">
      <c r="B7" s="32"/>
    </row>
    <row r="8" spans="1:5">
      <c r="A8" t="s">
        <v>170</v>
      </c>
      <c r="B8" s="32">
        <f>'Bank Expenditure'!D271</f>
        <v>98061.770000000033</v>
      </c>
    </row>
    <row r="9" spans="1:5">
      <c r="B9" s="32"/>
    </row>
    <row r="10" spans="1:5">
      <c r="A10" t="s">
        <v>171</v>
      </c>
      <c r="B10" s="33">
        <f>B4+B6-B8</f>
        <v>23962.77999999997</v>
      </c>
      <c r="D10" s="5"/>
    </row>
    <row r="11" spans="1:5">
      <c r="B11" s="32"/>
      <c r="D11" s="5"/>
    </row>
    <row r="12" spans="1:5">
      <c r="B12" s="32"/>
    </row>
    <row r="13" spans="1:5">
      <c r="A13" t="s">
        <v>172</v>
      </c>
      <c r="B13" s="33">
        <v>23962.78</v>
      </c>
    </row>
    <row r="14" spans="1:5">
      <c r="E14" t="s">
        <v>242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CE68-2B23-474F-9343-C770916062FC}">
  <dimension ref="A2:L82"/>
  <sheetViews>
    <sheetView workbookViewId="0">
      <pane ySplit="2" topLeftCell="A3" activePane="bottomLeft" state="frozen"/>
      <selection pane="bottomLeft" activeCell="G7" sqref="G7"/>
    </sheetView>
  </sheetViews>
  <sheetFormatPr baseColWidth="10" defaultColWidth="8.83203125" defaultRowHeight="14"/>
  <cols>
    <col min="2" max="2" width="20.83203125" bestFit="1" customWidth="1"/>
    <col min="4" max="4" width="10.5" bestFit="1" customWidth="1"/>
    <col min="9" max="9" width="10.1640625" bestFit="1" customWidth="1"/>
    <col min="11" max="11" width="9.5" bestFit="1" customWidth="1"/>
  </cols>
  <sheetData>
    <row r="2" spans="1:12">
      <c r="A2" t="s">
        <v>310</v>
      </c>
      <c r="B2" t="s">
        <v>137</v>
      </c>
      <c r="C2" t="s">
        <v>116</v>
      </c>
      <c r="D2" t="s">
        <v>311</v>
      </c>
      <c r="E2" t="s">
        <v>312</v>
      </c>
      <c r="F2" t="s">
        <v>314</v>
      </c>
      <c r="G2" t="s">
        <v>175</v>
      </c>
      <c r="H2" t="s">
        <v>173</v>
      </c>
      <c r="I2" t="s">
        <v>337</v>
      </c>
      <c r="J2" t="s">
        <v>327</v>
      </c>
      <c r="K2" t="s">
        <v>332</v>
      </c>
      <c r="L2" t="s">
        <v>333</v>
      </c>
    </row>
    <row r="3" spans="1:12">
      <c r="A3" s="3">
        <v>46101</v>
      </c>
      <c r="B3" t="s">
        <v>313</v>
      </c>
      <c r="C3">
        <f>SUM(D3:L3)</f>
        <v>6.5</v>
      </c>
      <c r="F3">
        <v>6.5</v>
      </c>
    </row>
    <row r="4" spans="1:12">
      <c r="B4" t="s">
        <v>192</v>
      </c>
      <c r="C4">
        <f t="shared" ref="C4:C67" si="0">SUM(D4:L4)</f>
        <v>3.1</v>
      </c>
      <c r="D4">
        <v>3.1</v>
      </c>
    </row>
    <row r="5" spans="1:12">
      <c r="B5" t="s">
        <v>192</v>
      </c>
      <c r="C5">
        <f t="shared" si="0"/>
        <v>5</v>
      </c>
      <c r="D5">
        <v>5</v>
      </c>
    </row>
    <row r="6" spans="1:12">
      <c r="B6" t="s">
        <v>147</v>
      </c>
      <c r="C6">
        <f t="shared" si="0"/>
        <v>7.17</v>
      </c>
      <c r="E6">
        <v>7.17</v>
      </c>
    </row>
    <row r="7" spans="1:12">
      <c r="B7" t="s">
        <v>294</v>
      </c>
      <c r="C7">
        <f t="shared" si="0"/>
        <v>8.98</v>
      </c>
      <c r="E7">
        <v>8.98</v>
      </c>
    </row>
    <row r="8" spans="1:12">
      <c r="B8" t="s">
        <v>315</v>
      </c>
      <c r="C8">
        <f t="shared" si="0"/>
        <v>83.08</v>
      </c>
      <c r="D8">
        <f>4</f>
        <v>4</v>
      </c>
      <c r="F8">
        <f>6+4+6+17.1+45.98</f>
        <v>79.08</v>
      </c>
    </row>
    <row r="9" spans="1:12">
      <c r="B9" t="s">
        <v>315</v>
      </c>
      <c r="C9">
        <f t="shared" si="0"/>
        <v>32.75</v>
      </c>
      <c r="E9">
        <v>21.79</v>
      </c>
      <c r="F9">
        <v>10.96</v>
      </c>
    </row>
    <row r="10" spans="1:12">
      <c r="B10" s="36" t="s">
        <v>315</v>
      </c>
      <c r="C10">
        <f t="shared" si="0"/>
        <v>109.72</v>
      </c>
      <c r="D10">
        <f>12.59+9.99</f>
        <v>22.58</v>
      </c>
      <c r="E10">
        <f>5</f>
        <v>5</v>
      </c>
      <c r="F10">
        <f>14.99+14.99</f>
        <v>29.98</v>
      </c>
      <c r="G10">
        <f>27.98</f>
        <v>27.98</v>
      </c>
      <c r="H10" s="36">
        <f>15.19+8.99</f>
        <v>24.18</v>
      </c>
    </row>
    <row r="11" spans="1:12">
      <c r="B11" t="s">
        <v>316</v>
      </c>
      <c r="C11">
        <f t="shared" si="0"/>
        <v>1.9</v>
      </c>
      <c r="D11">
        <v>1.9</v>
      </c>
    </row>
    <row r="12" spans="1:12">
      <c r="B12" t="s">
        <v>318</v>
      </c>
      <c r="C12">
        <f t="shared" si="0"/>
        <v>20</v>
      </c>
      <c r="F12">
        <v>20</v>
      </c>
    </row>
    <row r="13" spans="1:12">
      <c r="B13" t="s">
        <v>319</v>
      </c>
      <c r="C13">
        <f t="shared" si="0"/>
        <v>12.5</v>
      </c>
      <c r="F13">
        <v>12.5</v>
      </c>
    </row>
    <row r="14" spans="1:12">
      <c r="B14" t="s">
        <v>320</v>
      </c>
      <c r="C14">
        <f t="shared" si="0"/>
        <v>4.78</v>
      </c>
      <c r="E14">
        <v>4.78</v>
      </c>
    </row>
    <row r="15" spans="1:12">
      <c r="B15" t="s">
        <v>316</v>
      </c>
      <c r="C15">
        <f t="shared" si="0"/>
        <v>0.13</v>
      </c>
      <c r="F15">
        <v>0.13</v>
      </c>
    </row>
    <row r="16" spans="1:12">
      <c r="B16" t="s">
        <v>316</v>
      </c>
      <c r="C16">
        <f t="shared" si="0"/>
        <v>2.4</v>
      </c>
      <c r="F16">
        <v>2.4</v>
      </c>
    </row>
    <row r="17" spans="2:9">
      <c r="B17" t="s">
        <v>321</v>
      </c>
      <c r="C17">
        <f t="shared" si="0"/>
        <v>50</v>
      </c>
      <c r="G17">
        <v>50</v>
      </c>
    </row>
    <row r="18" spans="2:9">
      <c r="B18" t="s">
        <v>192</v>
      </c>
      <c r="C18">
        <f t="shared" si="0"/>
        <v>3.2</v>
      </c>
      <c r="F18">
        <v>3.2</v>
      </c>
    </row>
    <row r="19" spans="2:9">
      <c r="B19" t="s">
        <v>192</v>
      </c>
      <c r="C19">
        <f t="shared" si="0"/>
        <v>3.35</v>
      </c>
      <c r="F19">
        <v>3.35</v>
      </c>
    </row>
    <row r="20" spans="2:9">
      <c r="B20" t="s">
        <v>192</v>
      </c>
      <c r="C20">
        <f t="shared" si="0"/>
        <v>6.4</v>
      </c>
      <c r="F20">
        <v>6.4</v>
      </c>
    </row>
    <row r="21" spans="2:9">
      <c r="B21" t="s">
        <v>192</v>
      </c>
      <c r="C21">
        <f t="shared" si="0"/>
        <v>3.3</v>
      </c>
      <c r="D21">
        <v>3.3</v>
      </c>
    </row>
    <row r="22" spans="2:9">
      <c r="B22" t="s">
        <v>192</v>
      </c>
      <c r="C22">
        <f t="shared" si="0"/>
        <v>1.1000000000000001</v>
      </c>
      <c r="D22">
        <v>1.1000000000000001</v>
      </c>
    </row>
    <row r="23" spans="2:9">
      <c r="B23" t="s">
        <v>323</v>
      </c>
      <c r="C23">
        <f t="shared" si="0"/>
        <v>24</v>
      </c>
      <c r="F23">
        <v>24</v>
      </c>
    </row>
    <row r="24" spans="2:9">
      <c r="B24" t="s">
        <v>323</v>
      </c>
      <c r="C24">
        <f t="shared" si="0"/>
        <v>15</v>
      </c>
      <c r="F24">
        <v>15</v>
      </c>
    </row>
    <row r="25" spans="2:9">
      <c r="B25" t="s">
        <v>315</v>
      </c>
      <c r="C25">
        <f t="shared" si="0"/>
        <v>7.17</v>
      </c>
      <c r="E25">
        <v>7.17</v>
      </c>
    </row>
    <row r="26" spans="2:9">
      <c r="B26" t="s">
        <v>192</v>
      </c>
      <c r="C26">
        <f t="shared" si="0"/>
        <v>2.5</v>
      </c>
      <c r="F26">
        <v>2.5</v>
      </c>
    </row>
    <row r="27" spans="2:9">
      <c r="B27" t="s">
        <v>323</v>
      </c>
      <c r="C27">
        <f t="shared" si="0"/>
        <v>6</v>
      </c>
      <c r="F27">
        <v>6</v>
      </c>
    </row>
    <row r="28" spans="2:9">
      <c r="B28" t="s">
        <v>192</v>
      </c>
      <c r="C28">
        <f t="shared" si="0"/>
        <v>5.25</v>
      </c>
      <c r="F28">
        <v>5.25</v>
      </c>
    </row>
    <row r="29" spans="2:9">
      <c r="B29" t="s">
        <v>231</v>
      </c>
      <c r="C29">
        <f t="shared" si="0"/>
        <v>14.99</v>
      </c>
      <c r="D29">
        <v>14.99</v>
      </c>
    </row>
    <row r="30" spans="2:9">
      <c r="B30" t="s">
        <v>324</v>
      </c>
      <c r="C30">
        <f t="shared" si="0"/>
        <v>50</v>
      </c>
      <c r="I30">
        <v>50</v>
      </c>
    </row>
    <row r="31" spans="2:9">
      <c r="B31" t="s">
        <v>323</v>
      </c>
      <c r="C31">
        <f t="shared" si="0"/>
        <v>8</v>
      </c>
      <c r="F31">
        <v>8</v>
      </c>
    </row>
    <row r="32" spans="2:9">
      <c r="B32" t="s">
        <v>325</v>
      </c>
      <c r="C32">
        <f t="shared" si="0"/>
        <v>12.5</v>
      </c>
      <c r="G32">
        <v>12.5</v>
      </c>
    </row>
    <row r="33" spans="2:10">
      <c r="B33" t="s">
        <v>192</v>
      </c>
      <c r="C33">
        <f t="shared" si="0"/>
        <v>4.09</v>
      </c>
      <c r="D33">
        <v>4.09</v>
      </c>
    </row>
    <row r="34" spans="2:10">
      <c r="B34" t="s">
        <v>326</v>
      </c>
      <c r="C34">
        <f t="shared" si="0"/>
        <v>3.99</v>
      </c>
      <c r="G34">
        <v>3.99</v>
      </c>
    </row>
    <row r="35" spans="2:10">
      <c r="B35" t="s">
        <v>147</v>
      </c>
      <c r="C35">
        <f t="shared" si="0"/>
        <v>17</v>
      </c>
      <c r="G35">
        <v>17</v>
      </c>
    </row>
    <row r="36" spans="2:10">
      <c r="B36" t="s">
        <v>313</v>
      </c>
      <c r="C36">
        <f t="shared" si="0"/>
        <v>1.7</v>
      </c>
      <c r="F36">
        <v>1.7</v>
      </c>
    </row>
    <row r="37" spans="2:10">
      <c r="B37" t="s">
        <v>192</v>
      </c>
      <c r="C37">
        <f t="shared" si="0"/>
        <v>3.44</v>
      </c>
      <c r="F37">
        <v>3.44</v>
      </c>
    </row>
    <row r="38" spans="2:10">
      <c r="B38" t="s">
        <v>321</v>
      </c>
      <c r="C38">
        <f t="shared" si="0"/>
        <v>50</v>
      </c>
      <c r="G38">
        <v>50</v>
      </c>
    </row>
    <row r="39" spans="2:10">
      <c r="B39" t="s">
        <v>231</v>
      </c>
      <c r="C39">
        <f t="shared" si="0"/>
        <v>9.99</v>
      </c>
      <c r="E39">
        <v>9.99</v>
      </c>
    </row>
    <row r="40" spans="2:10">
      <c r="B40" t="s">
        <v>192</v>
      </c>
      <c r="C40">
        <f t="shared" si="0"/>
        <v>0.8</v>
      </c>
      <c r="F40">
        <v>0.8</v>
      </c>
    </row>
    <row r="41" spans="2:10">
      <c r="B41" t="s">
        <v>192</v>
      </c>
      <c r="C41">
        <f t="shared" si="0"/>
        <v>2.14</v>
      </c>
      <c r="F41">
        <v>2.14</v>
      </c>
    </row>
    <row r="42" spans="2:10">
      <c r="B42" t="s">
        <v>325</v>
      </c>
      <c r="C42">
        <f t="shared" si="0"/>
        <v>2.25</v>
      </c>
      <c r="J42">
        <v>2.25</v>
      </c>
    </row>
    <row r="43" spans="2:10">
      <c r="B43" t="s">
        <v>328</v>
      </c>
      <c r="C43">
        <f t="shared" si="0"/>
        <v>10.92</v>
      </c>
      <c r="D43">
        <v>10.92</v>
      </c>
    </row>
    <row r="44" spans="2:10">
      <c r="B44" t="s">
        <v>192</v>
      </c>
      <c r="C44">
        <f t="shared" si="0"/>
        <v>1.8</v>
      </c>
      <c r="F44">
        <v>1.8</v>
      </c>
    </row>
    <row r="45" spans="2:10">
      <c r="B45" t="s">
        <v>192</v>
      </c>
      <c r="C45">
        <f t="shared" si="0"/>
        <v>6.75</v>
      </c>
      <c r="F45">
        <v>6.75</v>
      </c>
    </row>
    <row r="46" spans="2:10">
      <c r="B46" t="s">
        <v>329</v>
      </c>
      <c r="C46">
        <f t="shared" si="0"/>
        <v>6.5</v>
      </c>
      <c r="G46">
        <v>6.5</v>
      </c>
    </row>
    <row r="47" spans="2:10">
      <c r="B47" t="s">
        <v>313</v>
      </c>
      <c r="C47">
        <f t="shared" si="0"/>
        <v>1.7</v>
      </c>
      <c r="F47">
        <v>1.7</v>
      </c>
    </row>
    <row r="48" spans="2:10">
      <c r="B48" t="s">
        <v>192</v>
      </c>
      <c r="C48">
        <f t="shared" si="0"/>
        <v>10.24</v>
      </c>
      <c r="F48">
        <v>10.24</v>
      </c>
    </row>
    <row r="49" spans="2:12">
      <c r="B49" t="s">
        <v>192</v>
      </c>
      <c r="C49">
        <f t="shared" si="0"/>
        <v>2.1</v>
      </c>
      <c r="F49">
        <v>2.1</v>
      </c>
    </row>
    <row r="50" spans="2:12">
      <c r="B50" t="s">
        <v>313</v>
      </c>
      <c r="C50">
        <f t="shared" si="0"/>
        <v>1.7</v>
      </c>
      <c r="F50">
        <v>1.7</v>
      </c>
    </row>
    <row r="51" spans="2:12">
      <c r="B51" t="s">
        <v>321</v>
      </c>
      <c r="C51">
        <f t="shared" si="0"/>
        <v>50</v>
      </c>
      <c r="G51">
        <v>50</v>
      </c>
    </row>
    <row r="52" spans="2:12">
      <c r="B52" t="s">
        <v>313</v>
      </c>
      <c r="C52">
        <f t="shared" si="0"/>
        <v>1</v>
      </c>
      <c r="F52">
        <v>1</v>
      </c>
    </row>
    <row r="53" spans="2:12">
      <c r="B53" t="s">
        <v>330</v>
      </c>
      <c r="C53">
        <f t="shared" si="0"/>
        <v>20</v>
      </c>
      <c r="K53">
        <v>20</v>
      </c>
    </row>
    <row r="54" spans="2:12">
      <c r="B54" t="s">
        <v>192</v>
      </c>
      <c r="C54">
        <f t="shared" si="0"/>
        <v>10.65</v>
      </c>
      <c r="F54">
        <v>10.65</v>
      </c>
    </row>
    <row r="55" spans="2:12">
      <c r="B55" t="s">
        <v>315</v>
      </c>
      <c r="C55">
        <f t="shared" si="0"/>
        <v>40.98</v>
      </c>
      <c r="F55">
        <v>12.99</v>
      </c>
      <c r="G55">
        <v>27.99</v>
      </c>
    </row>
    <row r="56" spans="2:12">
      <c r="B56" t="s">
        <v>192</v>
      </c>
      <c r="C56">
        <f t="shared" si="0"/>
        <v>0.4</v>
      </c>
      <c r="F56">
        <v>0.4</v>
      </c>
    </row>
    <row r="57" spans="2:12">
      <c r="B57" t="s">
        <v>331</v>
      </c>
      <c r="C57">
        <f t="shared" si="0"/>
        <v>1196.77</v>
      </c>
      <c r="K57">
        <v>1196.77</v>
      </c>
    </row>
    <row r="58" spans="2:12">
      <c r="B58" t="s">
        <v>192</v>
      </c>
      <c r="C58">
        <f t="shared" si="0"/>
        <v>3.1</v>
      </c>
      <c r="F58">
        <v>3.1</v>
      </c>
    </row>
    <row r="59" spans="2:12">
      <c r="B59" t="s">
        <v>315</v>
      </c>
      <c r="C59">
        <f t="shared" si="0"/>
        <v>339.83</v>
      </c>
      <c r="F59">
        <v>18.989999999999998</v>
      </c>
      <c r="G59">
        <v>88.79</v>
      </c>
      <c r="J59">
        <v>2.99</v>
      </c>
      <c r="L59">
        <v>229.06</v>
      </c>
    </row>
    <row r="60" spans="2:12">
      <c r="B60" t="s">
        <v>316</v>
      </c>
      <c r="C60">
        <f t="shared" si="0"/>
        <v>25.35</v>
      </c>
      <c r="D60">
        <v>25.35</v>
      </c>
    </row>
    <row r="61" spans="2:12">
      <c r="B61" t="s">
        <v>231</v>
      </c>
      <c r="C61">
        <f t="shared" si="0"/>
        <v>23.96</v>
      </c>
      <c r="E61">
        <v>23.96</v>
      </c>
    </row>
    <row r="62" spans="2:12">
      <c r="B62" t="s">
        <v>231</v>
      </c>
      <c r="C62">
        <f t="shared" si="0"/>
        <v>43.43</v>
      </c>
      <c r="D62">
        <f>6.49+29.95+6.99</f>
        <v>43.43</v>
      </c>
    </row>
    <row r="63" spans="2:12">
      <c r="B63" t="s">
        <v>334</v>
      </c>
      <c r="C63">
        <f t="shared" si="0"/>
        <v>51.47</v>
      </c>
      <c r="D63">
        <v>51.47</v>
      </c>
    </row>
    <row r="64" spans="2:12">
      <c r="B64" t="s">
        <v>182</v>
      </c>
      <c r="C64">
        <f t="shared" si="0"/>
        <v>36.200000000000003</v>
      </c>
      <c r="D64">
        <v>36.200000000000003</v>
      </c>
    </row>
    <row r="65" spans="2:12">
      <c r="B65" t="s">
        <v>192</v>
      </c>
      <c r="C65">
        <f t="shared" si="0"/>
        <v>4.4000000000000004</v>
      </c>
      <c r="F65">
        <v>4.4000000000000004</v>
      </c>
    </row>
    <row r="66" spans="2:12">
      <c r="B66" t="s">
        <v>329</v>
      </c>
      <c r="C66">
        <f t="shared" si="0"/>
        <v>12.24</v>
      </c>
      <c r="F66">
        <v>12.24</v>
      </c>
    </row>
    <row r="67" spans="2:12">
      <c r="B67" t="s">
        <v>321</v>
      </c>
      <c r="C67">
        <f t="shared" si="0"/>
        <v>50</v>
      </c>
      <c r="G67">
        <v>50</v>
      </c>
    </row>
    <row r="68" spans="2:12">
      <c r="B68" t="s">
        <v>192</v>
      </c>
      <c r="C68">
        <f t="shared" ref="C68:C76" si="1">SUM(D68:L68)</f>
        <v>2.78</v>
      </c>
      <c r="F68">
        <v>2.78</v>
      </c>
    </row>
    <row r="69" spans="2:12">
      <c r="B69" t="s">
        <v>192</v>
      </c>
      <c r="C69">
        <f t="shared" si="1"/>
        <v>4.4000000000000004</v>
      </c>
      <c r="D69">
        <v>4.4000000000000004</v>
      </c>
    </row>
    <row r="70" spans="2:12">
      <c r="B70" t="s">
        <v>192</v>
      </c>
      <c r="C70">
        <f t="shared" si="1"/>
        <v>3</v>
      </c>
      <c r="D70">
        <v>3</v>
      </c>
    </row>
    <row r="71" spans="2:12">
      <c r="B71" t="s">
        <v>335</v>
      </c>
      <c r="C71">
        <f t="shared" si="1"/>
        <v>59.99</v>
      </c>
      <c r="G71">
        <v>59.99</v>
      </c>
    </row>
    <row r="72" spans="2:12">
      <c r="B72" t="s">
        <v>192</v>
      </c>
      <c r="C72">
        <f t="shared" si="1"/>
        <v>3.95</v>
      </c>
      <c r="D72">
        <v>3.95</v>
      </c>
    </row>
    <row r="73" spans="2:12">
      <c r="B73" t="s">
        <v>192</v>
      </c>
      <c r="C73">
        <f t="shared" si="1"/>
        <v>1.65</v>
      </c>
      <c r="D73">
        <v>1.65</v>
      </c>
    </row>
    <row r="74" spans="2:12">
      <c r="B74" t="s">
        <v>192</v>
      </c>
      <c r="C74">
        <f t="shared" si="1"/>
        <v>0.3</v>
      </c>
      <c r="D74">
        <v>0.3</v>
      </c>
    </row>
    <row r="75" spans="2:12">
      <c r="B75" t="s">
        <v>336</v>
      </c>
      <c r="C75">
        <f t="shared" si="1"/>
        <v>73.8</v>
      </c>
      <c r="D75">
        <v>73.8</v>
      </c>
    </row>
    <row r="76" spans="2:12">
      <c r="B76" t="s">
        <v>231</v>
      </c>
      <c r="C76">
        <f t="shared" si="1"/>
        <v>26.99</v>
      </c>
      <c r="D76">
        <v>26.99</v>
      </c>
    </row>
    <row r="78" spans="2:12">
      <c r="C78">
        <f>SUM(C3:C76)</f>
        <v>2734.5199999999991</v>
      </c>
      <c r="D78">
        <f t="shared" ref="D78:L78" si="2">SUM(D3:D76)</f>
        <v>341.52000000000004</v>
      </c>
      <c r="E78">
        <f t="shared" si="2"/>
        <v>88.84</v>
      </c>
      <c r="F78">
        <f t="shared" si="2"/>
        <v>334.1699999999999</v>
      </c>
      <c r="G78">
        <f t="shared" si="2"/>
        <v>444.74</v>
      </c>
      <c r="H78">
        <f t="shared" si="2"/>
        <v>24.18</v>
      </c>
      <c r="I78">
        <f t="shared" si="2"/>
        <v>50</v>
      </c>
      <c r="J78">
        <f t="shared" si="2"/>
        <v>5.24</v>
      </c>
      <c r="K78">
        <f t="shared" si="2"/>
        <v>1216.77</v>
      </c>
      <c r="L78">
        <f t="shared" si="2"/>
        <v>229.06</v>
      </c>
    </row>
    <row r="79" spans="2:12">
      <c r="C79" t="s">
        <v>339</v>
      </c>
    </row>
    <row r="80" spans="2:12">
      <c r="C80" t="s">
        <v>340</v>
      </c>
    </row>
    <row r="82" spans="4:12">
      <c r="D82" t="s">
        <v>341</v>
      </c>
      <c r="E82" t="s">
        <v>342</v>
      </c>
      <c r="F82" t="s">
        <v>42</v>
      </c>
      <c r="G82" t="s">
        <v>175</v>
      </c>
      <c r="H82" t="s">
        <v>173</v>
      </c>
      <c r="I82" t="s">
        <v>343</v>
      </c>
      <c r="J82" t="s">
        <v>343</v>
      </c>
      <c r="K82" t="s">
        <v>174</v>
      </c>
      <c r="L82" t="s">
        <v>344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DC764-DE0C-4BCC-9D20-09350506D924}">
  <dimension ref="A1:C30"/>
  <sheetViews>
    <sheetView workbookViewId="0">
      <selection activeCell="A2" sqref="A2"/>
    </sheetView>
  </sheetViews>
  <sheetFormatPr baseColWidth="10" defaultColWidth="8.83203125" defaultRowHeight="14"/>
  <sheetData>
    <row r="1" spans="1:3">
      <c r="A1" t="s">
        <v>371</v>
      </c>
    </row>
    <row r="3" spans="1:3">
      <c r="A3" t="s">
        <v>316</v>
      </c>
      <c r="B3">
        <v>20</v>
      </c>
      <c r="C3" t="s">
        <v>317</v>
      </c>
    </row>
    <row r="4" spans="1:3">
      <c r="B4">
        <v>15</v>
      </c>
      <c r="C4" t="s">
        <v>314</v>
      </c>
    </row>
    <row r="5" spans="1:3">
      <c r="B5">
        <v>5</v>
      </c>
      <c r="C5" t="s">
        <v>314</v>
      </c>
    </row>
    <row r="6" spans="1:3">
      <c r="B6">
        <v>10</v>
      </c>
      <c r="C6" t="s">
        <v>314</v>
      </c>
    </row>
    <row r="7" spans="1:3">
      <c r="B7">
        <v>5</v>
      </c>
      <c r="C7" t="s">
        <v>314</v>
      </c>
    </row>
    <row r="8" spans="1:3">
      <c r="B8">
        <v>10</v>
      </c>
      <c r="C8" t="s">
        <v>322</v>
      </c>
    </row>
    <row r="9" spans="1:3">
      <c r="B9">
        <v>10</v>
      </c>
      <c r="C9" t="s">
        <v>322</v>
      </c>
    </row>
    <row r="10" spans="1:3">
      <c r="B10">
        <v>10</v>
      </c>
      <c r="C10" t="s">
        <v>314</v>
      </c>
    </row>
    <row r="11" spans="1:3">
      <c r="B11">
        <v>5</v>
      </c>
      <c r="C11" t="s">
        <v>314</v>
      </c>
    </row>
    <row r="12" spans="1:3">
      <c r="B12">
        <v>15</v>
      </c>
      <c r="C12" t="s">
        <v>322</v>
      </c>
    </row>
    <row r="13" spans="1:3">
      <c r="B13">
        <v>10</v>
      </c>
      <c r="C13" t="s">
        <v>314</v>
      </c>
    </row>
    <row r="14" spans="1:3">
      <c r="B14">
        <v>5</v>
      </c>
      <c r="C14" t="s">
        <v>314</v>
      </c>
    </row>
    <row r="15" spans="1:3">
      <c r="B15">
        <v>5</v>
      </c>
      <c r="C15" t="s">
        <v>314</v>
      </c>
    </row>
    <row r="16" spans="1:3">
      <c r="B16">
        <v>5</v>
      </c>
      <c r="C16" t="s">
        <v>314</v>
      </c>
    </row>
    <row r="17" spans="1:3">
      <c r="B17">
        <v>20</v>
      </c>
      <c r="C17" t="s">
        <v>322</v>
      </c>
    </row>
    <row r="18" spans="1:3">
      <c r="B18">
        <v>10</v>
      </c>
      <c r="C18" t="s">
        <v>314</v>
      </c>
    </row>
    <row r="19" spans="1:3">
      <c r="B19">
        <v>20</v>
      </c>
      <c r="C19" t="s">
        <v>314</v>
      </c>
    </row>
    <row r="20" spans="1:3">
      <c r="B20">
        <v>20</v>
      </c>
      <c r="C20" t="s">
        <v>314</v>
      </c>
    </row>
    <row r="21" spans="1:3">
      <c r="B21">
        <v>30</v>
      </c>
      <c r="C21" t="s">
        <v>314</v>
      </c>
    </row>
    <row r="22" spans="1:3">
      <c r="B22">
        <v>5</v>
      </c>
      <c r="C22" t="s">
        <v>322</v>
      </c>
    </row>
    <row r="23" spans="1:3">
      <c r="B23">
        <v>30</v>
      </c>
      <c r="C23" t="s">
        <v>322</v>
      </c>
    </row>
    <row r="24" spans="1:3">
      <c r="B24">
        <v>35</v>
      </c>
      <c r="C24" t="s">
        <v>322</v>
      </c>
    </row>
    <row r="26" spans="1:3">
      <c r="B26">
        <f>SUM(B3:B24)</f>
        <v>300</v>
      </c>
    </row>
    <row r="28" spans="1:3">
      <c r="A28" t="s">
        <v>322</v>
      </c>
      <c r="B28">
        <f>B3+B8+B9+B12+B17+B22+B23+B24</f>
        <v>145</v>
      </c>
      <c r="C28" t="s">
        <v>322</v>
      </c>
    </row>
    <row r="29" spans="1:3">
      <c r="A29" t="s">
        <v>345</v>
      </c>
      <c r="B29">
        <f>B4+B5+B6+B7+B10+B11+B13+B14+B15+B16+B18+B19+B20+B21</f>
        <v>155</v>
      </c>
      <c r="C29" t="s">
        <v>345</v>
      </c>
    </row>
    <row r="30" spans="1:3">
      <c r="B30">
        <f>SUM(B28:B29)</f>
        <v>300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3514-1187-499F-BFF0-E017E7CAC115}">
  <dimension ref="A2:P76"/>
  <sheetViews>
    <sheetView topLeftCell="A25" zoomScale="108" zoomScaleNormal="108" workbookViewId="0">
      <selection activeCell="O35" sqref="O35"/>
    </sheetView>
  </sheetViews>
  <sheetFormatPr baseColWidth="10" defaultColWidth="8.83203125" defaultRowHeight="14"/>
  <cols>
    <col min="1" max="1" width="18.33203125" bestFit="1" customWidth="1"/>
  </cols>
  <sheetData>
    <row r="2" spans="1:14">
      <c r="A2" t="s">
        <v>193</v>
      </c>
    </row>
    <row r="3" spans="1:14">
      <c r="B3" t="s">
        <v>106</v>
      </c>
      <c r="C3" t="s">
        <v>107</v>
      </c>
      <c r="D3" t="s">
        <v>108</v>
      </c>
      <c r="E3" t="s">
        <v>109</v>
      </c>
      <c r="F3" t="s">
        <v>110</v>
      </c>
      <c r="G3" t="s">
        <v>111</v>
      </c>
      <c r="H3" t="s">
        <v>112</v>
      </c>
      <c r="I3" t="s">
        <v>113</v>
      </c>
      <c r="J3" t="s">
        <v>114</v>
      </c>
      <c r="K3" t="s">
        <v>115</v>
      </c>
      <c r="L3" t="s">
        <v>104</v>
      </c>
      <c r="M3" t="s">
        <v>105</v>
      </c>
      <c r="N3" t="s">
        <v>116</v>
      </c>
    </row>
    <row r="4" spans="1:14">
      <c r="A4" t="s">
        <v>95</v>
      </c>
      <c r="C4">
        <v>1562.5</v>
      </c>
      <c r="D4">
        <v>1562.5</v>
      </c>
      <c r="E4">
        <v>1562.5</v>
      </c>
      <c r="F4">
        <v>1562.5</v>
      </c>
      <c r="G4">
        <v>1562.5</v>
      </c>
      <c r="H4">
        <v>1562.5</v>
      </c>
      <c r="I4">
        <v>1562.5</v>
      </c>
      <c r="J4">
        <v>2296.67</v>
      </c>
      <c r="K4">
        <v>2296.67</v>
      </c>
      <c r="L4">
        <v>2296.87</v>
      </c>
      <c r="M4">
        <v>2296.87</v>
      </c>
      <c r="N4">
        <f>SUM(B4:M4)</f>
        <v>20124.579999999998</v>
      </c>
    </row>
    <row r="5" spans="1:14">
      <c r="A5" t="s">
        <v>96</v>
      </c>
      <c r="C5">
        <v>315</v>
      </c>
      <c r="D5">
        <v>315</v>
      </c>
      <c r="E5">
        <v>315</v>
      </c>
      <c r="F5">
        <v>315</v>
      </c>
      <c r="G5">
        <v>315</v>
      </c>
      <c r="H5">
        <v>315</v>
      </c>
      <c r="I5">
        <v>315</v>
      </c>
      <c r="J5">
        <v>463.05</v>
      </c>
      <c r="K5">
        <v>463.05</v>
      </c>
      <c r="L5">
        <v>463.05</v>
      </c>
      <c r="M5">
        <v>482.37</v>
      </c>
      <c r="N5">
        <f>SUM(B5:M5)</f>
        <v>4076.5200000000004</v>
      </c>
    </row>
    <row r="6" spans="1:14">
      <c r="A6" t="s">
        <v>102</v>
      </c>
      <c r="C6">
        <v>41.16</v>
      </c>
      <c r="D6">
        <v>41.16</v>
      </c>
      <c r="E6">
        <v>41.16</v>
      </c>
      <c r="F6">
        <v>41.16</v>
      </c>
      <c r="G6">
        <v>41.16</v>
      </c>
      <c r="H6">
        <v>41.16</v>
      </c>
      <c r="I6">
        <v>41.16</v>
      </c>
      <c r="J6">
        <v>99.89</v>
      </c>
      <c r="K6">
        <v>99.89</v>
      </c>
      <c r="L6">
        <v>99.91</v>
      </c>
      <c r="M6">
        <v>99.91</v>
      </c>
      <c r="N6">
        <f>SUM(B6:M6)</f>
        <v>687.71999999999991</v>
      </c>
    </row>
    <row r="7" spans="1:14">
      <c r="A7" t="s">
        <v>103</v>
      </c>
      <c r="B7">
        <v>62.5</v>
      </c>
      <c r="C7">
        <v>62.5</v>
      </c>
      <c r="D7">
        <v>62.5</v>
      </c>
      <c r="E7">
        <v>62.5</v>
      </c>
      <c r="F7">
        <v>62.5</v>
      </c>
      <c r="G7">
        <v>62.5</v>
      </c>
      <c r="H7">
        <v>62.5</v>
      </c>
      <c r="I7">
        <v>62.5</v>
      </c>
      <c r="J7">
        <v>91.87</v>
      </c>
      <c r="K7">
        <v>91.87</v>
      </c>
      <c r="L7">
        <v>91.87</v>
      </c>
      <c r="N7">
        <f>SUM(B7:M7)</f>
        <v>775.61</v>
      </c>
    </row>
    <row r="8" spans="1:14">
      <c r="A8" t="s">
        <v>98</v>
      </c>
      <c r="N8">
        <f>SUM(B8:M8)</f>
        <v>0</v>
      </c>
    </row>
    <row r="9" spans="1:14">
      <c r="A9" t="s">
        <v>99</v>
      </c>
      <c r="B9">
        <f>B4-B5-B6-B7-B8</f>
        <v>-62.5</v>
      </c>
      <c r="C9">
        <f>C4-C5-C6-C7-C8</f>
        <v>1143.8399999999999</v>
      </c>
      <c r="D9">
        <f t="shared" ref="D9:N9" si="0">D4-D5-D6-D7-D8</f>
        <v>1143.8399999999999</v>
      </c>
      <c r="E9">
        <f t="shared" si="0"/>
        <v>1143.8399999999999</v>
      </c>
      <c r="F9">
        <f t="shared" si="0"/>
        <v>1143.8399999999999</v>
      </c>
      <c r="G9">
        <f t="shared" si="0"/>
        <v>1143.8399999999999</v>
      </c>
      <c r="H9">
        <f>H4-H5-H6-H7-H8</f>
        <v>1143.8399999999999</v>
      </c>
      <c r="I9">
        <f t="shared" si="0"/>
        <v>1143.8399999999999</v>
      </c>
      <c r="J9">
        <f t="shared" si="0"/>
        <v>1641.8600000000001</v>
      </c>
      <c r="K9">
        <f t="shared" si="0"/>
        <v>1641.8600000000001</v>
      </c>
      <c r="L9">
        <f t="shared" si="0"/>
        <v>1642.04</v>
      </c>
      <c r="M9">
        <f t="shared" si="0"/>
        <v>1714.59</v>
      </c>
      <c r="N9">
        <f t="shared" si="0"/>
        <v>14584.729999999998</v>
      </c>
    </row>
    <row r="10" spans="1:14">
      <c r="A10" t="s">
        <v>100</v>
      </c>
      <c r="N10">
        <f>SUM(B10:M10)</f>
        <v>0</v>
      </c>
    </row>
    <row r="11" spans="1:14">
      <c r="A11" t="s">
        <v>101</v>
      </c>
      <c r="B11">
        <v>46.88</v>
      </c>
      <c r="C11">
        <v>46.88</v>
      </c>
      <c r="D11">
        <v>46.88</v>
      </c>
      <c r="E11">
        <v>46.88</v>
      </c>
      <c r="F11">
        <v>46.88</v>
      </c>
      <c r="G11">
        <v>46.88</v>
      </c>
      <c r="H11">
        <v>46.88</v>
      </c>
      <c r="I11">
        <v>46.88</v>
      </c>
      <c r="J11">
        <v>68.900000000000006</v>
      </c>
      <c r="K11">
        <v>68.900000000000006</v>
      </c>
      <c r="L11">
        <v>68.900000000000006</v>
      </c>
      <c r="M11">
        <v>68.900000000000006</v>
      </c>
      <c r="N11">
        <f>SUM(B11:M11)</f>
        <v>650.64</v>
      </c>
    </row>
    <row r="14" spans="1:14">
      <c r="C14">
        <f>B7</f>
        <v>62.5</v>
      </c>
      <c r="D14">
        <f>C14*5</f>
        <v>312.5</v>
      </c>
    </row>
    <row r="16" spans="1:14">
      <c r="A16" t="s">
        <v>194</v>
      </c>
    </row>
    <row r="17" spans="1:14">
      <c r="B17" t="s">
        <v>106</v>
      </c>
      <c r="C17" t="s">
        <v>107</v>
      </c>
      <c r="D17" t="s">
        <v>108</v>
      </c>
      <c r="E17" t="s">
        <v>109</v>
      </c>
      <c r="F17" t="s">
        <v>110</v>
      </c>
      <c r="G17" t="s">
        <v>111</v>
      </c>
      <c r="H17" t="s">
        <v>112</v>
      </c>
      <c r="I17" t="s">
        <v>113</v>
      </c>
      <c r="J17" t="s">
        <v>114</v>
      </c>
      <c r="K17" t="s">
        <v>115</v>
      </c>
      <c r="L17" t="s">
        <v>104</v>
      </c>
      <c r="M17" t="s">
        <v>105</v>
      </c>
      <c r="N17" t="s">
        <v>116</v>
      </c>
    </row>
    <row r="18" spans="1:14">
      <c r="A18" t="s">
        <v>95</v>
      </c>
      <c r="B18">
        <v>2187.5</v>
      </c>
      <c r="C18">
        <v>2187.5</v>
      </c>
      <c r="D18">
        <v>2187.5</v>
      </c>
      <c r="E18">
        <v>2187.5</v>
      </c>
      <c r="F18">
        <v>2187.5</v>
      </c>
      <c r="G18">
        <v>2187.5</v>
      </c>
      <c r="H18">
        <v>2187.5</v>
      </c>
      <c r="N18">
        <f>SUM(B18:M18)</f>
        <v>15312.5</v>
      </c>
    </row>
    <row r="19" spans="1:14">
      <c r="A19" t="s">
        <v>96</v>
      </c>
      <c r="N19">
        <f t="shared" ref="N19:N25" si="1">SUM(B19:M19)</f>
        <v>0</v>
      </c>
    </row>
    <row r="20" spans="1:14">
      <c r="A20" t="s">
        <v>102</v>
      </c>
      <c r="N20">
        <f t="shared" si="1"/>
        <v>0</v>
      </c>
    </row>
    <row r="21" spans="1:14">
      <c r="A21" t="s">
        <v>103</v>
      </c>
      <c r="B21">
        <v>87.5</v>
      </c>
      <c r="C21">
        <v>87.5</v>
      </c>
      <c r="D21">
        <v>87.5</v>
      </c>
      <c r="E21">
        <v>87.5</v>
      </c>
      <c r="F21">
        <v>87.5</v>
      </c>
      <c r="G21">
        <v>87.5</v>
      </c>
      <c r="H21">
        <v>87.5</v>
      </c>
      <c r="I21">
        <v>50</v>
      </c>
      <c r="N21">
        <f t="shared" si="1"/>
        <v>662.5</v>
      </c>
    </row>
    <row r="22" spans="1:14">
      <c r="A22" t="s">
        <v>98</v>
      </c>
      <c r="N22">
        <f t="shared" si="1"/>
        <v>0</v>
      </c>
    </row>
    <row r="23" spans="1:14">
      <c r="A23" t="s">
        <v>99</v>
      </c>
      <c r="B23">
        <f t="shared" ref="B23:M23" si="2">B18-B19-B20-B21-B22</f>
        <v>2100</v>
      </c>
      <c r="C23">
        <f t="shared" si="2"/>
        <v>2100</v>
      </c>
      <c r="D23">
        <f t="shared" si="2"/>
        <v>2100</v>
      </c>
      <c r="E23">
        <f t="shared" si="2"/>
        <v>2100</v>
      </c>
      <c r="F23">
        <f t="shared" si="2"/>
        <v>2100</v>
      </c>
      <c r="G23">
        <f t="shared" si="2"/>
        <v>2100</v>
      </c>
      <c r="H23">
        <f t="shared" si="2"/>
        <v>2100</v>
      </c>
      <c r="I23">
        <f t="shared" si="2"/>
        <v>-50</v>
      </c>
      <c r="J23">
        <f t="shared" si="2"/>
        <v>0</v>
      </c>
      <c r="K23">
        <f t="shared" si="2"/>
        <v>0</v>
      </c>
      <c r="L23">
        <f t="shared" si="2"/>
        <v>0</v>
      </c>
      <c r="M23">
        <f t="shared" si="2"/>
        <v>0</v>
      </c>
      <c r="N23">
        <f t="shared" si="1"/>
        <v>14650</v>
      </c>
    </row>
    <row r="24" spans="1:14">
      <c r="A24" t="s">
        <v>100</v>
      </c>
      <c r="N24">
        <f t="shared" si="1"/>
        <v>0</v>
      </c>
    </row>
    <row r="25" spans="1:14">
      <c r="A25" t="s">
        <v>101</v>
      </c>
      <c r="B25">
        <v>65.62</v>
      </c>
      <c r="C25">
        <v>65.62</v>
      </c>
      <c r="D25">
        <v>65.62</v>
      </c>
      <c r="E25">
        <v>65.62</v>
      </c>
      <c r="F25">
        <v>65.62</v>
      </c>
      <c r="G25">
        <v>65.62</v>
      </c>
      <c r="H25">
        <v>65.62</v>
      </c>
      <c r="I25">
        <v>37.5</v>
      </c>
      <c r="N25">
        <f t="shared" si="1"/>
        <v>496.84000000000003</v>
      </c>
    </row>
    <row r="27" spans="1:14">
      <c r="B27">
        <f>B21+B25</f>
        <v>153.12</v>
      </c>
      <c r="C27">
        <f>B27*12</f>
        <v>1837.44</v>
      </c>
      <c r="D27">
        <f>C27+D14</f>
        <v>2149.94</v>
      </c>
    </row>
    <row r="29" spans="1:14">
      <c r="A29" t="s">
        <v>210</v>
      </c>
    </row>
    <row r="30" spans="1:14">
      <c r="B30" t="s">
        <v>106</v>
      </c>
      <c r="C30" t="s">
        <v>107</v>
      </c>
      <c r="D30" t="s">
        <v>108</v>
      </c>
      <c r="E30" t="s">
        <v>109</v>
      </c>
      <c r="F30" t="s">
        <v>110</v>
      </c>
      <c r="G30" t="s">
        <v>111</v>
      </c>
      <c r="H30" t="s">
        <v>112</v>
      </c>
      <c r="I30" t="s">
        <v>113</v>
      </c>
      <c r="J30" t="s">
        <v>114</v>
      </c>
      <c r="K30" t="s">
        <v>115</v>
      </c>
      <c r="L30" t="s">
        <v>104</v>
      </c>
      <c r="M30" t="s">
        <v>105</v>
      </c>
      <c r="N30" t="s">
        <v>116</v>
      </c>
    </row>
    <row r="31" spans="1:14">
      <c r="A31" t="s">
        <v>95</v>
      </c>
      <c r="C31">
        <v>810.42</v>
      </c>
      <c r="D31">
        <v>810.84</v>
      </c>
      <c r="E31">
        <v>677.3</v>
      </c>
      <c r="F31">
        <v>810.84</v>
      </c>
      <c r="G31">
        <v>810.84</v>
      </c>
      <c r="H31">
        <v>810.62</v>
      </c>
      <c r="I31">
        <v>810.62</v>
      </c>
      <c r="J31">
        <v>1182.5999999999999</v>
      </c>
      <c r="K31">
        <f>740.79+2.81</f>
        <v>743.59999999999991</v>
      </c>
      <c r="L31">
        <v>746.41</v>
      </c>
      <c r="M31">
        <v>746.41</v>
      </c>
      <c r="N31">
        <f>SUM(B31:M31)</f>
        <v>8960.5</v>
      </c>
    </row>
    <row r="32" spans="1:14">
      <c r="A32" t="s">
        <v>96</v>
      </c>
      <c r="J32">
        <v>26.8</v>
      </c>
      <c r="N32">
        <f t="shared" ref="N32:N38" si="3">SUM(B32:M32)</f>
        <v>26.8</v>
      </c>
    </row>
    <row r="33" spans="1:14">
      <c r="A33" t="s">
        <v>102</v>
      </c>
      <c r="J33">
        <v>10.77</v>
      </c>
      <c r="N33">
        <f t="shared" si="3"/>
        <v>10.77</v>
      </c>
    </row>
    <row r="34" spans="1:14">
      <c r="A34" t="s">
        <v>103</v>
      </c>
      <c r="N34">
        <f t="shared" si="3"/>
        <v>0</v>
      </c>
    </row>
    <row r="35" spans="1:14">
      <c r="A35" t="s">
        <v>98</v>
      </c>
      <c r="N35">
        <f t="shared" si="3"/>
        <v>0</v>
      </c>
    </row>
    <row r="36" spans="1:14">
      <c r="A36" t="s">
        <v>99</v>
      </c>
      <c r="B36">
        <f t="shared" ref="B36:M36" si="4">B31-B32-B33-B34-B35</f>
        <v>0</v>
      </c>
      <c r="C36">
        <f t="shared" si="4"/>
        <v>810.42</v>
      </c>
      <c r="D36">
        <f t="shared" si="4"/>
        <v>810.84</v>
      </c>
      <c r="E36">
        <f t="shared" si="4"/>
        <v>677.3</v>
      </c>
      <c r="F36">
        <f t="shared" si="4"/>
        <v>810.84</v>
      </c>
      <c r="G36">
        <f t="shared" si="4"/>
        <v>810.84</v>
      </c>
      <c r="H36">
        <f t="shared" si="4"/>
        <v>810.62</v>
      </c>
      <c r="I36">
        <f t="shared" si="4"/>
        <v>810.62</v>
      </c>
      <c r="J36">
        <f t="shared" si="4"/>
        <v>1145.03</v>
      </c>
      <c r="K36">
        <f t="shared" si="4"/>
        <v>743.59999999999991</v>
      </c>
      <c r="L36">
        <f t="shared" si="4"/>
        <v>746.41</v>
      </c>
      <c r="M36">
        <f t="shared" si="4"/>
        <v>746.41</v>
      </c>
      <c r="N36">
        <f t="shared" si="3"/>
        <v>8922.93</v>
      </c>
    </row>
    <row r="37" spans="1:14">
      <c r="A37" t="s">
        <v>100</v>
      </c>
      <c r="N37">
        <f t="shared" si="3"/>
        <v>0</v>
      </c>
    </row>
    <row r="38" spans="1:14">
      <c r="A38" t="s">
        <v>101</v>
      </c>
      <c r="N38">
        <f t="shared" si="3"/>
        <v>0</v>
      </c>
    </row>
    <row r="40" spans="1:14">
      <c r="A40" t="s">
        <v>307</v>
      </c>
    </row>
    <row r="41" spans="1:14">
      <c r="B41" t="s">
        <v>106</v>
      </c>
      <c r="C41" t="s">
        <v>107</v>
      </c>
      <c r="D41" t="s">
        <v>108</v>
      </c>
      <c r="E41" t="s">
        <v>109</v>
      </c>
      <c r="F41" t="s">
        <v>110</v>
      </c>
      <c r="G41" t="s">
        <v>111</v>
      </c>
      <c r="H41" t="s">
        <v>112</v>
      </c>
      <c r="I41" t="s">
        <v>113</v>
      </c>
      <c r="J41" t="s">
        <v>114</v>
      </c>
      <c r="K41" t="s">
        <v>115</v>
      </c>
      <c r="L41" t="s">
        <v>104</v>
      </c>
      <c r="M41" t="s">
        <v>105</v>
      </c>
      <c r="N41" t="s">
        <v>116</v>
      </c>
    </row>
    <row r="42" spans="1:14">
      <c r="A42" t="s">
        <v>95</v>
      </c>
      <c r="M42">
        <v>262.16000000000003</v>
      </c>
      <c r="N42">
        <f t="shared" ref="N42:N47" si="5">SUM(B42:M42)</f>
        <v>262.16000000000003</v>
      </c>
    </row>
    <row r="43" spans="1:14">
      <c r="A43" t="s">
        <v>96</v>
      </c>
      <c r="M43">
        <v>52.4</v>
      </c>
      <c r="N43">
        <f t="shared" si="5"/>
        <v>52.4</v>
      </c>
    </row>
    <row r="44" spans="1:14">
      <c r="A44" t="s">
        <v>102</v>
      </c>
      <c r="N44">
        <f t="shared" si="5"/>
        <v>0</v>
      </c>
    </row>
    <row r="45" spans="1:14">
      <c r="A45" t="s">
        <v>103</v>
      </c>
      <c r="N45">
        <f t="shared" si="5"/>
        <v>0</v>
      </c>
    </row>
    <row r="46" spans="1:14">
      <c r="A46" t="s">
        <v>98</v>
      </c>
      <c r="N46">
        <f t="shared" si="5"/>
        <v>0</v>
      </c>
    </row>
    <row r="47" spans="1:14">
      <c r="A47" t="s">
        <v>99</v>
      </c>
      <c r="B47">
        <f>B42-B43-B44-B45-B46</f>
        <v>0</v>
      </c>
      <c r="C47">
        <f t="shared" ref="C47:M47" si="6">C42-C43-C44-C45-C46</f>
        <v>0</v>
      </c>
      <c r="D47">
        <f t="shared" si="6"/>
        <v>0</v>
      </c>
      <c r="E47">
        <f t="shared" si="6"/>
        <v>0</v>
      </c>
      <c r="F47">
        <f t="shared" si="6"/>
        <v>0</v>
      </c>
      <c r="G47">
        <f t="shared" si="6"/>
        <v>0</v>
      </c>
      <c r="H47">
        <f t="shared" si="6"/>
        <v>0</v>
      </c>
      <c r="I47">
        <f t="shared" si="6"/>
        <v>0</v>
      </c>
      <c r="J47">
        <f t="shared" si="6"/>
        <v>0</v>
      </c>
      <c r="K47">
        <f t="shared" si="6"/>
        <v>0</v>
      </c>
      <c r="L47">
        <f t="shared" si="6"/>
        <v>0</v>
      </c>
      <c r="M47">
        <f t="shared" si="6"/>
        <v>209.76000000000002</v>
      </c>
      <c r="N47">
        <f t="shared" si="5"/>
        <v>209.76000000000002</v>
      </c>
    </row>
    <row r="51" spans="1:14">
      <c r="A51" t="s">
        <v>116</v>
      </c>
    </row>
    <row r="52" spans="1:14">
      <c r="B52" t="s">
        <v>106</v>
      </c>
      <c r="C52" t="s">
        <v>107</v>
      </c>
      <c r="D52" t="s">
        <v>108</v>
      </c>
      <c r="E52" t="s">
        <v>109</v>
      </c>
      <c r="F52" t="s">
        <v>110</v>
      </c>
      <c r="G52" t="s">
        <v>111</v>
      </c>
      <c r="H52" t="s">
        <v>112</v>
      </c>
      <c r="I52" t="s">
        <v>113</v>
      </c>
      <c r="J52" t="s">
        <v>114</v>
      </c>
      <c r="K52" t="s">
        <v>115</v>
      </c>
      <c r="L52" t="s">
        <v>104</v>
      </c>
      <c r="M52" t="s">
        <v>105</v>
      </c>
      <c r="N52" t="s">
        <v>116</v>
      </c>
    </row>
    <row r="53" spans="1:14">
      <c r="A53" t="s">
        <v>95</v>
      </c>
      <c r="B53">
        <f>B4+B18+B31</f>
        <v>2187.5</v>
      </c>
      <c r="C53">
        <f t="shared" ref="C53:L53" si="7">C4+C18+C31</f>
        <v>4560.42</v>
      </c>
      <c r="D53">
        <f t="shared" si="7"/>
        <v>4560.84</v>
      </c>
      <c r="E53">
        <f t="shared" si="7"/>
        <v>4427.3</v>
      </c>
      <c r="F53">
        <f t="shared" si="7"/>
        <v>4560.84</v>
      </c>
      <c r="G53">
        <f t="shared" si="7"/>
        <v>4560.84</v>
      </c>
      <c r="H53">
        <f t="shared" si="7"/>
        <v>4560.62</v>
      </c>
      <c r="I53">
        <f t="shared" si="7"/>
        <v>2373.12</v>
      </c>
      <c r="J53">
        <f t="shared" si="7"/>
        <v>3479.27</v>
      </c>
      <c r="K53">
        <f t="shared" si="7"/>
        <v>3040.27</v>
      </c>
      <c r="L53">
        <f t="shared" si="7"/>
        <v>3043.2799999999997</v>
      </c>
      <c r="M53">
        <f>M4+M18+M31+M42</f>
        <v>3305.4399999999996</v>
      </c>
      <c r="N53">
        <f>SUM(B53:M53)</f>
        <v>44659.74</v>
      </c>
    </row>
    <row r="54" spans="1:14">
      <c r="A54" t="s">
        <v>96</v>
      </c>
      <c r="B54">
        <f>B5+B19+B32</f>
        <v>0</v>
      </c>
      <c r="C54">
        <f>C6+C19+C32</f>
        <v>41.16</v>
      </c>
      <c r="D54">
        <f t="shared" ref="D54:L54" si="8">D5+D19+D32</f>
        <v>315</v>
      </c>
      <c r="E54">
        <f t="shared" si="8"/>
        <v>315</v>
      </c>
      <c r="F54">
        <f t="shared" si="8"/>
        <v>315</v>
      </c>
      <c r="G54">
        <f t="shared" si="8"/>
        <v>315</v>
      </c>
      <c r="H54">
        <f t="shared" si="8"/>
        <v>315</v>
      </c>
      <c r="I54">
        <f t="shared" si="8"/>
        <v>315</v>
      </c>
      <c r="J54">
        <f t="shared" si="8"/>
        <v>489.85</v>
      </c>
      <c r="K54">
        <f t="shared" si="8"/>
        <v>463.05</v>
      </c>
      <c r="L54">
        <f t="shared" si="8"/>
        <v>463.05</v>
      </c>
      <c r="M54">
        <f>M5+M19+M32+M43</f>
        <v>534.77</v>
      </c>
      <c r="N54">
        <f t="shared" ref="N54:N60" si="9">SUM(B54:M54)</f>
        <v>3881.88</v>
      </c>
    </row>
    <row r="55" spans="1:14">
      <c r="A55" t="s">
        <v>102</v>
      </c>
      <c r="B55">
        <f>B6+B20+B33</f>
        <v>0</v>
      </c>
      <c r="C55">
        <f>C7+C20+C33</f>
        <v>62.5</v>
      </c>
      <c r="D55">
        <f t="shared" ref="D55:L55" si="10">D6+D20+D33</f>
        <v>41.16</v>
      </c>
      <c r="E55">
        <f t="shared" si="10"/>
        <v>41.16</v>
      </c>
      <c r="F55">
        <f t="shared" si="10"/>
        <v>41.16</v>
      </c>
      <c r="G55">
        <f t="shared" si="10"/>
        <v>41.16</v>
      </c>
      <c r="H55">
        <f t="shared" si="10"/>
        <v>41.16</v>
      </c>
      <c r="I55">
        <f t="shared" si="10"/>
        <v>41.16</v>
      </c>
      <c r="J55">
        <f t="shared" si="10"/>
        <v>110.66</v>
      </c>
      <c r="K55">
        <f t="shared" si="10"/>
        <v>99.89</v>
      </c>
      <c r="L55">
        <f t="shared" si="10"/>
        <v>99.91</v>
      </c>
      <c r="M55">
        <f>M6+M20+M33</f>
        <v>99.91</v>
      </c>
      <c r="N55">
        <f t="shared" si="9"/>
        <v>719.82999999999981</v>
      </c>
    </row>
    <row r="56" spans="1:14">
      <c r="A56" t="s">
        <v>103</v>
      </c>
      <c r="B56">
        <f>B7+B21+B34</f>
        <v>150</v>
      </c>
      <c r="C56">
        <f>C7+C21+C34</f>
        <v>150</v>
      </c>
      <c r="D56">
        <f t="shared" ref="D56:L56" si="11">D7+D21+D34</f>
        <v>150</v>
      </c>
      <c r="E56">
        <f t="shared" si="11"/>
        <v>150</v>
      </c>
      <c r="F56">
        <f t="shared" si="11"/>
        <v>150</v>
      </c>
      <c r="G56">
        <f t="shared" si="11"/>
        <v>150</v>
      </c>
      <c r="H56">
        <f t="shared" si="11"/>
        <v>150</v>
      </c>
      <c r="I56">
        <f t="shared" si="11"/>
        <v>112.5</v>
      </c>
      <c r="J56">
        <f t="shared" si="11"/>
        <v>91.87</v>
      </c>
      <c r="K56">
        <f t="shared" si="11"/>
        <v>91.87</v>
      </c>
      <c r="L56">
        <f t="shared" si="11"/>
        <v>91.87</v>
      </c>
      <c r="M56">
        <f>M7+M21+M34</f>
        <v>0</v>
      </c>
      <c r="N56">
        <f t="shared" si="9"/>
        <v>1438.1099999999997</v>
      </c>
    </row>
    <row r="57" spans="1:14">
      <c r="A57" t="s">
        <v>98</v>
      </c>
      <c r="B57">
        <f>B8+B22+B35</f>
        <v>0</v>
      </c>
      <c r="C57">
        <f>C8+C22+C35</f>
        <v>0</v>
      </c>
      <c r="D57">
        <f t="shared" ref="D57:L57" si="12">D8+D22+D35</f>
        <v>0</v>
      </c>
      <c r="E57">
        <f t="shared" si="12"/>
        <v>0</v>
      </c>
      <c r="F57">
        <f t="shared" si="12"/>
        <v>0</v>
      </c>
      <c r="G57">
        <f t="shared" si="12"/>
        <v>0</v>
      </c>
      <c r="H57">
        <f t="shared" si="12"/>
        <v>0</v>
      </c>
      <c r="I57">
        <f t="shared" si="12"/>
        <v>0</v>
      </c>
      <c r="J57">
        <f t="shared" si="12"/>
        <v>0</v>
      </c>
      <c r="K57">
        <f t="shared" si="12"/>
        <v>0</v>
      </c>
      <c r="L57">
        <f t="shared" si="12"/>
        <v>0</v>
      </c>
      <c r="M57">
        <f>M8+M22+M35</f>
        <v>0</v>
      </c>
      <c r="N57">
        <f t="shared" si="9"/>
        <v>0</v>
      </c>
    </row>
    <row r="58" spans="1:14">
      <c r="A58" t="s">
        <v>99</v>
      </c>
      <c r="B58">
        <f t="shared" ref="B58:K58" si="13">B53-B54-B55-B56-B57</f>
        <v>2037.5</v>
      </c>
      <c r="C58">
        <f t="shared" si="13"/>
        <v>4306.76</v>
      </c>
      <c r="D58">
        <f t="shared" si="13"/>
        <v>4054.6800000000003</v>
      </c>
      <c r="E58">
        <f t="shared" si="13"/>
        <v>3921.1400000000003</v>
      </c>
      <c r="F58">
        <f t="shared" si="13"/>
        <v>4054.6800000000003</v>
      </c>
      <c r="G58">
        <f t="shared" si="13"/>
        <v>4054.6800000000003</v>
      </c>
      <c r="H58">
        <f t="shared" si="13"/>
        <v>4054.46</v>
      </c>
      <c r="I58">
        <f t="shared" si="13"/>
        <v>1904.4599999999998</v>
      </c>
      <c r="J58">
        <f t="shared" si="13"/>
        <v>2786.8900000000003</v>
      </c>
      <c r="K58">
        <f t="shared" si="13"/>
        <v>2385.46</v>
      </c>
      <c r="L58">
        <f>L9+L23+L36</f>
        <v>2388.4499999999998</v>
      </c>
      <c r="M58">
        <f>M53-M54-M55-M56-M57</f>
        <v>2670.7599999999998</v>
      </c>
      <c r="N58">
        <f t="shared" si="9"/>
        <v>38619.919999999998</v>
      </c>
    </row>
    <row r="59" spans="1:14">
      <c r="A59" t="s">
        <v>100</v>
      </c>
      <c r="B59">
        <f>B10+B24+B37</f>
        <v>0</v>
      </c>
      <c r="C59">
        <f t="shared" ref="C59:M59" si="14">C10+C24+C37</f>
        <v>0</v>
      </c>
      <c r="D59">
        <f t="shared" si="14"/>
        <v>0</v>
      </c>
      <c r="E59">
        <f t="shared" si="14"/>
        <v>0</v>
      </c>
      <c r="F59">
        <f t="shared" si="14"/>
        <v>0</v>
      </c>
      <c r="G59">
        <f t="shared" si="14"/>
        <v>0</v>
      </c>
      <c r="H59">
        <f t="shared" si="14"/>
        <v>0</v>
      </c>
      <c r="I59">
        <f t="shared" si="14"/>
        <v>0</v>
      </c>
      <c r="J59">
        <f t="shared" si="14"/>
        <v>0</v>
      </c>
      <c r="K59">
        <f t="shared" si="14"/>
        <v>0</v>
      </c>
      <c r="L59">
        <f t="shared" si="14"/>
        <v>0</v>
      </c>
      <c r="M59">
        <f t="shared" si="14"/>
        <v>0</v>
      </c>
      <c r="N59">
        <f t="shared" si="9"/>
        <v>0</v>
      </c>
    </row>
    <row r="60" spans="1:14">
      <c r="A60" t="s">
        <v>101</v>
      </c>
      <c r="B60">
        <f>B11+B25+B38</f>
        <v>112.5</v>
      </c>
      <c r="C60">
        <f t="shared" ref="C60:M60" si="15">C11+C25+C38</f>
        <v>112.5</v>
      </c>
      <c r="D60">
        <f t="shared" si="15"/>
        <v>112.5</v>
      </c>
      <c r="E60">
        <f t="shared" si="15"/>
        <v>112.5</v>
      </c>
      <c r="F60">
        <f t="shared" si="15"/>
        <v>112.5</v>
      </c>
      <c r="G60">
        <f t="shared" si="15"/>
        <v>112.5</v>
      </c>
      <c r="H60">
        <f t="shared" si="15"/>
        <v>112.5</v>
      </c>
      <c r="I60">
        <f t="shared" si="15"/>
        <v>84.38</v>
      </c>
      <c r="J60">
        <f t="shared" si="15"/>
        <v>68.900000000000006</v>
      </c>
      <c r="K60">
        <f t="shared" si="15"/>
        <v>68.900000000000006</v>
      </c>
      <c r="L60">
        <f t="shared" si="15"/>
        <v>68.900000000000006</v>
      </c>
      <c r="M60">
        <f t="shared" si="15"/>
        <v>68.900000000000006</v>
      </c>
      <c r="N60">
        <f t="shared" si="9"/>
        <v>1147.48</v>
      </c>
    </row>
    <row r="63" spans="1:14">
      <c r="A63" t="s">
        <v>117</v>
      </c>
      <c r="B63">
        <f>B5+B6+B10+B19+B20+B24+B32+B33+B37</f>
        <v>0</v>
      </c>
      <c r="C63">
        <f>C6+C7+C10+C19+C20+C24+C32+C33+C37</f>
        <v>103.66</v>
      </c>
      <c r="D63">
        <f t="shared" ref="D63:M63" si="16">D5+D6+D10+D19+D20+D24+D32+D33+D37</f>
        <v>356.15999999999997</v>
      </c>
      <c r="E63">
        <f t="shared" si="16"/>
        <v>356.15999999999997</v>
      </c>
      <c r="F63">
        <f t="shared" si="16"/>
        <v>356.15999999999997</v>
      </c>
      <c r="G63">
        <f t="shared" si="16"/>
        <v>356.15999999999997</v>
      </c>
      <c r="H63">
        <f t="shared" si="16"/>
        <v>356.15999999999997</v>
      </c>
      <c r="I63">
        <f t="shared" si="16"/>
        <v>356.15999999999997</v>
      </c>
      <c r="J63">
        <f t="shared" si="16"/>
        <v>600.51</v>
      </c>
      <c r="K63">
        <f t="shared" si="16"/>
        <v>562.94000000000005</v>
      </c>
      <c r="L63">
        <f>L6+L7+L10+L19+L20+L24+L32+L33+L37</f>
        <v>191.78</v>
      </c>
      <c r="M63">
        <f t="shared" si="16"/>
        <v>582.28</v>
      </c>
      <c r="N63">
        <f>SUM(B63:M63)</f>
        <v>4178.1299999999992</v>
      </c>
    </row>
    <row r="64" spans="1:14">
      <c r="A64" t="s">
        <v>118</v>
      </c>
      <c r="B64">
        <f>B7+B11+B21+B25+B38+B34</f>
        <v>262.5</v>
      </c>
      <c r="C64">
        <f>C7+C11+C21+C25+C38+C34</f>
        <v>262.5</v>
      </c>
      <c r="D64">
        <f t="shared" ref="D64:M64" si="17">D7+D11+D21+D25+D38+D34</f>
        <v>262.5</v>
      </c>
      <c r="E64">
        <f t="shared" si="17"/>
        <v>262.5</v>
      </c>
      <c r="F64">
        <f t="shared" si="17"/>
        <v>262.5</v>
      </c>
      <c r="G64">
        <f t="shared" si="17"/>
        <v>262.5</v>
      </c>
      <c r="H64">
        <f t="shared" si="17"/>
        <v>262.5</v>
      </c>
      <c r="I64">
        <f t="shared" si="17"/>
        <v>196.88</v>
      </c>
      <c r="J64">
        <f t="shared" si="17"/>
        <v>160.77000000000001</v>
      </c>
      <c r="K64">
        <f t="shared" si="17"/>
        <v>160.77000000000001</v>
      </c>
      <c r="L64">
        <f>L7+L8+L11+L20+L21+L25+L33+L34+L38</f>
        <v>160.77000000000001</v>
      </c>
      <c r="M64">
        <f t="shared" si="17"/>
        <v>68.900000000000006</v>
      </c>
      <c r="N64">
        <f>SUM(B64:M64)</f>
        <v>2585.59</v>
      </c>
    </row>
    <row r="68" spans="1:16">
      <c r="A68" t="s">
        <v>119</v>
      </c>
      <c r="B68">
        <f>B53</f>
        <v>2187.5</v>
      </c>
      <c r="C68">
        <f t="shared" ref="C68:M68" si="18">C53</f>
        <v>4560.42</v>
      </c>
      <c r="D68">
        <f t="shared" si="18"/>
        <v>4560.84</v>
      </c>
      <c r="E68">
        <f t="shared" si="18"/>
        <v>4427.3</v>
      </c>
      <c r="F68">
        <f t="shared" si="18"/>
        <v>4560.84</v>
      </c>
      <c r="G68">
        <f t="shared" si="18"/>
        <v>4560.84</v>
      </c>
      <c r="H68">
        <f t="shared" si="18"/>
        <v>4560.62</v>
      </c>
      <c r="I68">
        <f t="shared" si="18"/>
        <v>2373.12</v>
      </c>
      <c r="J68">
        <f t="shared" si="18"/>
        <v>3479.27</v>
      </c>
      <c r="K68">
        <f t="shared" si="18"/>
        <v>3040.27</v>
      </c>
      <c r="L68">
        <f t="shared" si="18"/>
        <v>3043.2799999999997</v>
      </c>
      <c r="M68">
        <f t="shared" si="18"/>
        <v>3305.4399999999996</v>
      </c>
      <c r="N68">
        <f>SUM(B68:M68)</f>
        <v>44659.74</v>
      </c>
    </row>
    <row r="69" spans="1:16">
      <c r="A69" t="s">
        <v>100</v>
      </c>
      <c r="B69">
        <f>B59</f>
        <v>0</v>
      </c>
      <c r="C69">
        <f t="shared" ref="C69:M69" si="19">C59</f>
        <v>0</v>
      </c>
      <c r="D69">
        <f t="shared" si="19"/>
        <v>0</v>
      </c>
      <c r="E69">
        <f t="shared" si="19"/>
        <v>0</v>
      </c>
      <c r="F69">
        <f t="shared" si="19"/>
        <v>0</v>
      </c>
      <c r="G69">
        <f t="shared" si="19"/>
        <v>0</v>
      </c>
      <c r="H69">
        <f t="shared" si="19"/>
        <v>0</v>
      </c>
      <c r="I69">
        <f t="shared" si="19"/>
        <v>0</v>
      </c>
      <c r="J69">
        <f t="shared" si="19"/>
        <v>0</v>
      </c>
      <c r="K69">
        <f t="shared" si="19"/>
        <v>0</v>
      </c>
      <c r="L69">
        <f t="shared" si="19"/>
        <v>0</v>
      </c>
      <c r="M69">
        <f t="shared" si="19"/>
        <v>0</v>
      </c>
      <c r="N69">
        <f>SUM(B69:M69)</f>
        <v>0</v>
      </c>
      <c r="O69">
        <f>SUM(N68:N69)</f>
        <v>44659.74</v>
      </c>
      <c r="P69" t="s">
        <v>124</v>
      </c>
    </row>
    <row r="70" spans="1:16">
      <c r="A70" t="s">
        <v>97</v>
      </c>
      <c r="B70">
        <f>B60</f>
        <v>112.5</v>
      </c>
      <c r="C70">
        <f t="shared" ref="C70:M70" si="20">C60</f>
        <v>112.5</v>
      </c>
      <c r="D70">
        <f t="shared" si="20"/>
        <v>112.5</v>
      </c>
      <c r="E70">
        <f t="shared" si="20"/>
        <v>112.5</v>
      </c>
      <c r="F70">
        <f t="shared" si="20"/>
        <v>112.5</v>
      </c>
      <c r="G70">
        <f t="shared" si="20"/>
        <v>112.5</v>
      </c>
      <c r="H70">
        <f t="shared" si="20"/>
        <v>112.5</v>
      </c>
      <c r="I70">
        <f t="shared" si="20"/>
        <v>84.38</v>
      </c>
      <c r="J70">
        <f t="shared" si="20"/>
        <v>68.900000000000006</v>
      </c>
      <c r="K70">
        <f t="shared" si="20"/>
        <v>68.900000000000006</v>
      </c>
      <c r="L70">
        <f t="shared" si="20"/>
        <v>68.900000000000006</v>
      </c>
      <c r="M70">
        <f t="shared" si="20"/>
        <v>68.900000000000006</v>
      </c>
      <c r="N70">
        <f>SUM(B70:M70)</f>
        <v>1147.48</v>
      </c>
    </row>
    <row r="71" spans="1:16">
      <c r="A71" t="s">
        <v>120</v>
      </c>
      <c r="B71">
        <f>SUM(B68:B70)</f>
        <v>2300</v>
      </c>
      <c r="C71">
        <f t="shared" ref="C71:M71" si="21">SUM(C68:C70)</f>
        <v>4672.92</v>
      </c>
      <c r="D71">
        <f t="shared" si="21"/>
        <v>4673.34</v>
      </c>
      <c r="E71">
        <f t="shared" si="21"/>
        <v>4539.8</v>
      </c>
      <c r="F71">
        <f t="shared" si="21"/>
        <v>4673.34</v>
      </c>
      <c r="G71">
        <f t="shared" si="21"/>
        <v>4673.34</v>
      </c>
      <c r="H71">
        <f t="shared" si="21"/>
        <v>4673.12</v>
      </c>
      <c r="I71">
        <f t="shared" si="21"/>
        <v>2457.5</v>
      </c>
      <c r="J71">
        <f t="shared" si="21"/>
        <v>3548.17</v>
      </c>
      <c r="K71">
        <f t="shared" si="21"/>
        <v>3109.17</v>
      </c>
      <c r="L71">
        <f t="shared" si="21"/>
        <v>3112.18</v>
      </c>
      <c r="M71">
        <f t="shared" si="21"/>
        <v>3374.3399999999997</v>
      </c>
      <c r="N71">
        <f>SUM(N68:N70)</f>
        <v>45807.22</v>
      </c>
    </row>
    <row r="72" spans="1:16">
      <c r="A72" t="s">
        <v>121</v>
      </c>
      <c r="B72">
        <f>B57</f>
        <v>0</v>
      </c>
      <c r="C72">
        <f t="shared" ref="C72:N72" si="22">C57</f>
        <v>0</v>
      </c>
      <c r="D72">
        <f t="shared" si="22"/>
        <v>0</v>
      </c>
      <c r="E72">
        <f t="shared" si="22"/>
        <v>0</v>
      </c>
      <c r="F72">
        <f t="shared" si="22"/>
        <v>0</v>
      </c>
      <c r="G72">
        <f t="shared" si="22"/>
        <v>0</v>
      </c>
      <c r="H72">
        <f t="shared" si="22"/>
        <v>0</v>
      </c>
      <c r="I72">
        <f t="shared" si="22"/>
        <v>0</v>
      </c>
      <c r="J72">
        <f t="shared" si="22"/>
        <v>0</v>
      </c>
      <c r="K72">
        <f t="shared" si="22"/>
        <v>0</v>
      </c>
      <c r="L72">
        <f t="shared" si="22"/>
        <v>0</v>
      </c>
      <c r="M72">
        <f t="shared" si="22"/>
        <v>0</v>
      </c>
      <c r="N72">
        <f t="shared" si="22"/>
        <v>0</v>
      </c>
      <c r="O72" t="s">
        <v>122</v>
      </c>
    </row>
    <row r="74" spans="1:16">
      <c r="A74" t="s">
        <v>123</v>
      </c>
    </row>
    <row r="75" spans="1:16">
      <c r="B75">
        <f>O69</f>
        <v>44659.74</v>
      </c>
    </row>
    <row r="76" spans="1:16">
      <c r="B76">
        <f>N70</f>
        <v>1147.48</v>
      </c>
      <c r="C76">
        <v>68.900000000000006</v>
      </c>
      <c r="D76">
        <f>B76+C76</f>
        <v>1216.3800000000001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DB3AEE2-9C9C-4D79-8853-F2C596B1793F}"/>
</file>

<file path=customXml/itemProps2.xml><?xml version="1.0" encoding="utf-8"?>
<ds:datastoreItem xmlns:ds="http://schemas.openxmlformats.org/officeDocument/2006/customXml" ds:itemID="{73D71761-7505-4C9E-9BF8-5931F2A32533}"/>
</file>

<file path=customXml/itemProps3.xml><?xml version="1.0" encoding="utf-8"?>
<ds:datastoreItem xmlns:ds="http://schemas.openxmlformats.org/officeDocument/2006/customXml" ds:itemID="{34AFA002-7C53-428B-BB0F-AAB460F0F2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Statement +BS</vt:lpstr>
      <vt:lpstr>Notes</vt:lpstr>
      <vt:lpstr>Bank Income</vt:lpstr>
      <vt:lpstr>Bank Expenditure</vt:lpstr>
      <vt:lpstr>Bank Rec</vt:lpstr>
      <vt:lpstr>Cash Spend</vt:lpstr>
      <vt:lpstr>Vouchers</vt:lpstr>
      <vt:lpstr>wages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Thomson</dc:creator>
  <cp:lastModifiedBy>Microsoft Office User</cp:lastModifiedBy>
  <cp:lastPrinted>2026-05-20T13:33:55Z</cp:lastPrinted>
  <dcterms:created xsi:type="dcterms:W3CDTF">2026-03-23T19:35:24Z</dcterms:created>
  <dcterms:modified xsi:type="dcterms:W3CDTF">2026-10-06T16:33:21Z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